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worksheets/sheet4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3.xml" ContentType="application/vnd.openxmlformats-officedocument.spreadsheetml.worksheet+xml"/>
  <Override PartName="/xl/worksheets/sheet1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ash pH" sheetId="1" state="visible" r:id="rId2"/>
    <sheet name="pH Shift" sheetId="2" state="hidden" r:id="rId3"/>
    <sheet name="Water" sheetId="3" state="visible" r:id="rId4"/>
    <sheet name="SRM Color" sheetId="4" state="hidden" r:id="rId5"/>
    <sheet name="Minerals Worksheet" sheetId="5" state="hidden" r:id="rId6"/>
    <sheet name="Sparge H2O Adj." sheetId="6" state="visible" r:id="rId7"/>
    <sheet name="Kettle pH" sheetId="7" state="visible" r:id="rId8"/>
    <sheet name="Lactic Acid %" sheetId="8" state="visible" r:id="rId9"/>
    <sheet name="Phosphoric Acid %" sheetId="9" state="visible" r:id="rId10"/>
    <sheet name="Sparge Lactic Worksheet" sheetId="10" state="hidden" r:id="rId11"/>
    <sheet name="Lactic Worksheet" sheetId="11" state="hidden" r:id="rId12"/>
    <sheet name="Phosphoric Worksheet" sheetId="12" state="hidden" r:id="rId13"/>
    <sheet name="CaCl2 Selector" sheetId="13" state="visible" r:id="rId14"/>
    <sheet name="IBU Calculator" sheetId="14" state="visible" r:id="rId15"/>
    <sheet name="Water Profiles" sheetId="15" state="visible" r:id="rId16"/>
    <sheet name="Priming Calculator" sheetId="16" state="visible" r:id="rId17"/>
    <sheet name="Color Converter" sheetId="17" state="visible" r:id="rId18"/>
    <sheet name="Mash_Acid mEq" sheetId="18" state="hidden" r:id="rId19"/>
    <sheet name="Sparge_Acid mEq" sheetId="19" state="hidden" r:id="rId20"/>
    <sheet name="SRMME" sheetId="20" state="visible" r:id="rId21"/>
  </sheets>
  <definedNames>
    <definedName function="false" hidden="false" localSheetId="0" name="_xlnm.Print_Area" vbProcedure="false">'Mash pH'!$B$1:$R$25</definedName>
    <definedName function="false" hidden="false" name="__xlfn_IFERROR" vbProcedure="false">#N/A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<sst xmlns="http://schemas.openxmlformats.org/spreadsheetml/2006/main" count="866" uniqueCount="503">
  <si>
    <t xml:space="preserve">Mash Made Easy V_11.50©</t>
  </si>
  <si>
    <t xml:space="preserve">                     By: MashRite LLC (All Rights Reserved) 12/31/2022</t>
  </si>
  <si>
    <t xml:space="preserve">Mash Water Mineral Additions</t>
  </si>
  <si>
    <t xml:space="preserve">Place Your Recipe’s Name Here</t>
  </si>
  <si>
    <t xml:space="preserve">Pre-Adjustment Mash Water Alkalinity (ppm) =</t>
  </si>
  <si>
    <t xml:space="preserve">Mash Water     Ca++ (ppm)  =</t>
  </si>
  <si>
    <t xml:space="preserve">Mash Water      Mg++ (ppm)  =</t>
  </si>
  <si>
    <t xml:space="preserve">Gypsum (CaSO4)</t>
  </si>
  <si>
    <t xml:space="preserve">Epsom Salt (MgSO4)</t>
  </si>
  <si>
    <t xml:space="preserve">Table or Pickling Salt (NaCl)</t>
  </si>
  <si>
    <t xml:space="preserve">Baking Soda (NaHCO3)</t>
  </si>
  <si>
    <t xml:space="preserve">Slaked Lime Ca(OH)2</t>
  </si>
  <si>
    <t xml:space="preserve">Buffering Coefficient Manual Override</t>
  </si>
  <si>
    <t xml:space="preserve">Grams</t>
  </si>
  <si>
    <t xml:space="preserve">Malt/Grain Classification (Drop Down)</t>
  </si>
  <si>
    <t xml:space="preserve">              Grain Bill                (Names / Descriptions)</t>
  </si>
  <si>
    <t xml:space="preserve">Grains Lovibond Color</t>
  </si>
  <si>
    <t xml:space="preserve">Grains Quantity (lbs.)</t>
  </si>
  <si>
    <t xml:space="preserve">Grains Calculated DI Mash pH</t>
  </si>
  <si>
    <t xml:space="preserve">DI Mash pH Manual Override</t>
  </si>
  <si>
    <t xml:space="preserve">Grains Calculated Post  Mineral Additions Mash pH</t>
  </si>
  <si>
    <t xml:space="preserve">Buffering</t>
  </si>
  <si>
    <t xml:space="preserve">Buff * Kg</t>
  </si>
  <si>
    <t xml:space="preserve">mEq’s</t>
  </si>
  <si>
    <t xml:space="preserve">Main Sequence</t>
  </si>
  <si>
    <t xml:space="preserve">Swaen Pilsner</t>
  </si>
  <si>
    <t xml:space="preserve">Sparge Water Mineral Additions</t>
  </si>
  <si>
    <t xml:space="preserve">N/A</t>
  </si>
  <si>
    <t xml:space="preserve">Mash Water (gallons)</t>
  </si>
  <si>
    <t xml:space="preserve">Sparge Water (gallons)</t>
  </si>
  <si>
    <t xml:space="preserve">Total Batch Water (gallons)</t>
  </si>
  <si>
    <t xml:space="preserve">Water To  Grist Ratio  (Qts./Lbs.)</t>
  </si>
  <si>
    <t xml:space="preserve">Mineral Modified Grist mEq’s @ Target pH</t>
  </si>
  <si>
    <t xml:space="preserve">Aggregate Grist Buffer as mEq/Kg.pH</t>
  </si>
  <si>
    <t xml:space="preserve">Finished Batch Mineralization</t>
  </si>
  <si>
    <t xml:space="preserve">Grists Total Malts/Grains/Sugars &amp; Non-fermentables Weight (Lbs.) = </t>
  </si>
  <si>
    <t xml:space="preserve">~Pre Acid/Base Addition Mash pH =  </t>
  </si>
  <si>
    <t xml:space="preserve">Grist Buffer =</t>
  </si>
  <si>
    <t xml:space="preserve">Chloride (ppm)</t>
  </si>
  <si>
    <t xml:space="preserve"> Sulfate (ppm)</t>
  </si>
  <si>
    <t xml:space="preserve">Sodium (ppm)</t>
  </si>
  <si>
    <t xml:space="preserve">Calcium (ppm)</t>
  </si>
  <si>
    <t xml:space="preserve">Magnesium (ppm)</t>
  </si>
  <si>
    <t xml:space="preserve">Water’s Total Hardness (as CaCO3)</t>
  </si>
  <si>
    <t xml:space="preserve">Sugars &amp; Non-Fermentables Weight (Lbs.) = </t>
  </si>
  <si>
    <t xml:space="preserve">Desired Target Mash pH @ 68 F. =  </t>
  </si>
  <si>
    <t xml:space="preserve">Pre Acid/Base pH =</t>
  </si>
  <si>
    <t xml:space="preserve">Caramel/Crystal</t>
  </si>
  <si>
    <t xml:space="preserve">Acid Malts Effective % Lactic Acid (3% Typ.) = </t>
  </si>
  <si>
    <t xml:space="preserve">*Select only one form of Acid and add it to the mash directly, or to the mash water in advance, to achieve the target Mash pH**</t>
  </si>
  <si>
    <t xml:space="preserve">Lactic Acid =</t>
  </si>
  <si>
    <t xml:space="preserve">Carapils/Carafoam</t>
  </si>
  <si>
    <t xml:space="preserve">Actual Grist Buffer Multiplier (0.60 to 1.00) = </t>
  </si>
  <si>
    <t xml:space="preserve">Phos Acid =</t>
  </si>
  <si>
    <t xml:space="preserve">Wheat Or Rye Malt</t>
  </si>
  <si>
    <t xml:space="preserve">% of Kolbach predicted pH shift for Ca &amp; Mg = </t>
  </si>
  <si>
    <t xml:space="preserve">Acid Malt(Oz, g) = </t>
  </si>
  <si>
    <t xml:space="preserve">Acid Malt g. =</t>
  </si>
  <si>
    <t xml:space="preserve">Cooled post boil volume (Gallons)</t>
  </si>
  <si>
    <t xml:space="preserve">Estimated Batch Color (SRM)</t>
  </si>
  <si>
    <t xml:space="preserve">Effective Ca++ and Mg++ mEq’s</t>
  </si>
  <si>
    <t xml:space="preserve">Mash H2O Alkalinity  mEq’s</t>
  </si>
  <si>
    <t xml:space="preserve">Ca and Mg induced pH Shift</t>
  </si>
  <si>
    <t xml:space="preserve">Alkalinity  induced pH Shift</t>
  </si>
  <si>
    <t xml:space="preserve">Acidulated Malt</t>
  </si>
  <si>
    <t xml:space="preserve">Kolbach Ca++ and Mg++ pH Shift Multiplier = </t>
  </si>
  <si>
    <t xml:space="preserve">Citric Acid (g) =  </t>
  </si>
  <si>
    <t xml:space="preserve">Melanoidin/Honey</t>
  </si>
  <si>
    <t xml:space="preserve">Kolbach divisors assigned by the Multiplier = </t>
  </si>
  <si>
    <t xml:space="preserve">CRS/AMS (mL) =  </t>
  </si>
  <si>
    <t xml:space="preserve">Flaked Barley</t>
  </si>
  <si>
    <t xml:space="preserve"> Baking Soda (g) =</t>
  </si>
  <si>
    <t xml:space="preserve">*Select one base and enter it as a Mineral Addition (Top Right)</t>
  </si>
  <si>
    <t xml:space="preserve">Baking Soda =</t>
  </si>
  <si>
    <t xml:space="preserve">Flaked Oats</t>
  </si>
  <si>
    <t xml:space="preserve">Key</t>
  </si>
  <si>
    <t xml:space="preserve">Ca(OH)2 (g) =  </t>
  </si>
  <si>
    <t xml:space="preserve">NOTE: If using CRS/AMS to adj. Mash pH set to “Yes” to account for added Cl &amp; SO4</t>
  </si>
  <si>
    <t xml:space="preserve">CRS/AMS = No</t>
  </si>
  <si>
    <t xml:space="preserve">Flaked Wheat, Rye</t>
  </si>
  <si>
    <t xml:space="preserve">Drop Down User Input</t>
  </si>
  <si>
    <t xml:space="preserve">User Input</t>
  </si>
  <si>
    <t xml:space="preserve">Desired Target Knockout pH (Post Boil &amp; Cooling) = </t>
  </si>
  <si>
    <t xml:space="preserve">Flaked Corn</t>
  </si>
  <si>
    <t xml:space="preserve">Calculated Output</t>
  </si>
  <si>
    <t xml:space="preserve">Text</t>
  </si>
  <si>
    <t xml:space="preserve">Mash pH Target Suggested To Achieve Knockout Target = </t>
  </si>
  <si>
    <t xml:space="preserve">M-Dextrin / Sugar</t>
  </si>
  <si>
    <t xml:space="preserve"> Mill Gap (in.) =  </t>
  </si>
  <si>
    <t xml:space="preserve">Gap Suggested Grist Buffer Multiplier = </t>
  </si>
  <si>
    <t xml:space="preserve">CRS/AMS = Yes</t>
  </si>
  <si>
    <t xml:space="preserve">Mash Only</t>
  </si>
  <si>
    <t xml:space="preserve">Mash &amp; Sparge</t>
  </si>
  <si>
    <t xml:space="preserve">Blended H2O</t>
  </si>
  <si>
    <t xml:space="preserve">Mineral Free</t>
  </si>
  <si>
    <t xml:space="preserve">Credits:</t>
  </si>
  <si>
    <t xml:space="preserve">A.J. deLange</t>
  </si>
  <si>
    <t xml:space="preserve">Kai Troester</t>
  </si>
  <si>
    <t xml:space="preserve">Derek Scott</t>
  </si>
  <si>
    <t xml:space="preserve">Weyermann®</t>
  </si>
  <si>
    <t xml:space="preserve">Briess®</t>
  </si>
  <si>
    <t xml:space="preserve">D.M. Riffe</t>
  </si>
  <si>
    <t xml:space="preserve">Mick Spencer</t>
  </si>
  <si>
    <t xml:space="preserve">Glenn Tinseth</t>
  </si>
  <si>
    <t xml:space="preserve">Michael L. Hall</t>
  </si>
  <si>
    <t xml:space="preserve">               pH Shift</t>
  </si>
  <si>
    <t xml:space="preserve">Gallons</t>
  </si>
  <si>
    <t xml:space="preserve">Alkalinity</t>
  </si>
  <si>
    <t xml:space="preserve">Grist Wt. (Lbs.)</t>
  </si>
  <si>
    <t xml:space="preserve">Calcium</t>
  </si>
  <si>
    <t xml:space="preserve">Magnesium</t>
  </si>
  <si>
    <t xml:space="preserve">pH Shift</t>
  </si>
  <si>
    <t xml:space="preserve">Kolbach</t>
  </si>
  <si>
    <t xml:space="preserve">Mineral</t>
  </si>
  <si>
    <t xml:space="preserve">M_Factor</t>
  </si>
  <si>
    <t xml:space="preserve">mEq/L</t>
  </si>
  <si>
    <t xml:space="preserve">Effective</t>
  </si>
  <si>
    <t xml:space="preserve">Total</t>
  </si>
  <si>
    <t xml:space="preserve">Liters</t>
  </si>
  <si>
    <t xml:space="preserve">Kg. =</t>
  </si>
  <si>
    <t xml:space="preserve">Buffering =</t>
  </si>
  <si>
    <t xml:space="preserve">pH Shift =</t>
  </si>
  <si>
    <t xml:space="preserve">Ca Factor</t>
  </si>
  <si>
    <t xml:space="preserve">Mg Factor</t>
  </si>
  <si>
    <t xml:space="preserve">Ca+Mg</t>
  </si>
  <si>
    <t xml:space="preserve">mEq’s/L</t>
  </si>
  <si>
    <t xml:space="preserve">Source Water Analysis</t>
  </si>
  <si>
    <t xml:space="preserve">Potassium (ppm)</t>
  </si>
  <si>
    <t xml:space="preserve">Sulfate (ppm)</t>
  </si>
  <si>
    <t xml:space="preserve">Nitrate (ppm)</t>
  </si>
  <si>
    <t xml:space="preserve">Alkalinity (ppm)</t>
  </si>
  <si>
    <t xml:space="preserve">mEq/L Cations</t>
  </si>
  <si>
    <t xml:space="preserve">mEq/L Anions</t>
  </si>
  <si>
    <t xml:space="preserve">Cations (Positive Charge)</t>
  </si>
  <si>
    <t xml:space="preserve">Anions (Negative Charge)</t>
  </si>
  <si>
    <t xml:space="preserve">Dilution Water Analysis</t>
  </si>
  <si>
    <t xml:space="preserve">                              Source and Dilution Water Allocation</t>
  </si>
  <si>
    <t xml:space="preserve">Bicarbonate to Alkalinity Calculator</t>
  </si>
  <si>
    <t xml:space="preserve">Brewing Waters % “Source Water” =</t>
  </si>
  <si>
    <t xml:space="preserve">Brewing Waters % “Dilution Water” =</t>
  </si>
  <si>
    <t xml:space="preserve">Bicarbonate </t>
  </si>
  <si>
    <t xml:space="preserve">Blendeded Waters Analysis</t>
  </si>
  <si>
    <t xml:space="preserve">Batch SRM Color Calculator</t>
  </si>
  <si>
    <t xml:space="preserve">Post Boil</t>
  </si>
  <si>
    <t xml:space="preserve">Grains</t>
  </si>
  <si>
    <t xml:space="preserve">Grain</t>
  </si>
  <si>
    <t xml:space="preserve">Batch</t>
  </si>
  <si>
    <t xml:space="preserve">Color</t>
  </si>
  <si>
    <t xml:space="preserve">Quantity</t>
  </si>
  <si>
    <t xml:space="preserve">Color </t>
  </si>
  <si>
    <t xml:space="preserve">Size (Gal.)</t>
  </si>
  <si>
    <t xml:space="preserve">Lovibond</t>
  </si>
  <si>
    <t xml:space="preserve">Lbs.</t>
  </si>
  <si>
    <t xml:space="preserve">MCU</t>
  </si>
  <si>
    <t xml:space="preserve">SRM</t>
  </si>
  <si>
    <t xml:space="preserve">Total Pounds =</t>
  </si>
  <si>
    <t xml:space="preserve">Selector</t>
  </si>
  <si>
    <t xml:space="preserve">Mash</t>
  </si>
  <si>
    <t xml:space="preserve">Sparge</t>
  </si>
  <si>
    <t xml:space="preserve">Blended</t>
  </si>
  <si>
    <t xml:space="preserve">Volume</t>
  </si>
  <si>
    <t xml:space="preserve">Distilled</t>
  </si>
  <si>
    <t xml:space="preserve">Sparge +</t>
  </si>
  <si>
    <t xml:space="preserve">Blended +</t>
  </si>
  <si>
    <t xml:space="preserve">Blended </t>
  </si>
  <si>
    <t xml:space="preserve">Mash </t>
  </si>
  <si>
    <t xml:space="preserve">Minerals to</t>
  </si>
  <si>
    <t xml:space="preserve">Water mg/L</t>
  </si>
  <si>
    <t xml:space="preserve">Water mg/l</t>
  </si>
  <si>
    <t xml:space="preserve">Mash &amp;</t>
  </si>
  <si>
    <t xml:space="preserve">From CaSO4</t>
  </si>
  <si>
    <t xml:space="preserve">From CaCl</t>
  </si>
  <si>
    <t xml:space="preserve">From Ca(OH02</t>
  </si>
  <si>
    <t xml:space="preserve">From MgSO4</t>
  </si>
  <si>
    <t xml:space="preserve">From NaCl</t>
  </si>
  <si>
    <t xml:space="preserve">From NaHCO3</t>
  </si>
  <si>
    <t xml:space="preserve">Only</t>
  </si>
  <si>
    <t xml:space="preserve">Addition</t>
  </si>
  <si>
    <t xml:space="preserve">Sodium</t>
  </si>
  <si>
    <t xml:space="preserve">Chloride</t>
  </si>
  <si>
    <t xml:space="preserve">Sulfate</t>
  </si>
  <si>
    <t xml:space="preserve">Sparge Water pH Adjustment via Acid Addition</t>
  </si>
  <si>
    <t xml:space="preserve">Initial</t>
  </si>
  <si>
    <t xml:space="preserve">Sparge Water</t>
  </si>
  <si>
    <t xml:space="preserve">Waters</t>
  </si>
  <si>
    <t xml:space="preserve">AMS/CRS</t>
  </si>
  <si>
    <t xml:space="preserve">Sourced From Mash pH Sheet</t>
  </si>
  <si>
    <t xml:space="preserve">Target</t>
  </si>
  <si>
    <t xml:space="preserve">Treatment</t>
  </si>
  <si>
    <t xml:space="preserve">mEq’s of</t>
  </si>
  <si>
    <t xml:space="preserve">ppm</t>
  </si>
  <si>
    <t xml:space="preserve">Added</t>
  </si>
  <si>
    <t xml:space="preserve">Of Sparge</t>
  </si>
  <si>
    <t xml:space="preserve">ppm Alkalinity</t>
  </si>
  <si>
    <t xml:space="preserve">Water</t>
  </si>
  <si>
    <t xml:space="preserve">Acid</t>
  </si>
  <si>
    <t xml:space="preserve">Overall</t>
  </si>
  <si>
    <t xml:space="preserve">Remaining</t>
  </si>
  <si>
    <t xml:space="preserve">(as CaCO3)</t>
  </si>
  <si>
    <t xml:space="preserve">pH</t>
  </si>
  <si>
    <t xml:space="preserve">Water pH</t>
  </si>
  <si>
    <t xml:space="preserve">(Drop Down)</t>
  </si>
  <si>
    <t xml:space="preserve">to Remove</t>
  </si>
  <si>
    <t xml:space="preserve">To Add</t>
  </si>
  <si>
    <t xml:space="preserve">88% Lactic</t>
  </si>
  <si>
    <t xml:space="preserve">***</t>
  </si>
  <si>
    <t xml:space="preserve">*** = Required User Input</t>
  </si>
  <si>
    <t xml:space="preserve">Target Charge =</t>
  </si>
  <si>
    <t xml:space="preserve">10% Phosphoric</t>
  </si>
  <si>
    <t xml:space="preserve">PH Charge =</t>
  </si>
  <si>
    <t xml:space="preserve">75% Phosphoric</t>
  </si>
  <si>
    <t xml:space="preserve">Delta C =</t>
  </si>
  <si>
    <t xml:space="preserve">85% Phosphoric</t>
  </si>
  <si>
    <t xml:space="preserve">Ct =</t>
  </si>
  <si>
    <t xml:space="preserve">80% Lactic</t>
  </si>
  <si>
    <t xml:space="preserve">Delta Cz =</t>
  </si>
  <si>
    <t xml:space="preserve">Z_pH = </t>
  </si>
  <si>
    <t xml:space="preserve">AMS (CRS)</t>
  </si>
  <si>
    <t xml:space="preserve">Citric Acid</t>
  </si>
  <si>
    <t xml:space="preserve">By: MashRite LLC (All Rights Reserved) 7/7/2021</t>
  </si>
  <si>
    <t xml:space="preserve">                           Kettle pH Made Easy, Version 1.35.1 ©</t>
  </si>
  <si>
    <t xml:space="preserve">**Choose only one acid to achieve the Target Kettle pH**</t>
  </si>
  <si>
    <t xml:space="preserve">Compensator Calculated Cooled Pre-Boil Volume (Gallons)</t>
  </si>
  <si>
    <t xml:space="preserve">Sugars or Sugar Syrups Added (Pounds)</t>
  </si>
  <si>
    <t xml:space="preserve">Grists Avg. Course Grind Percent</t>
  </si>
  <si>
    <t xml:space="preserve">Theoretical Grist Wt. (Kgs.) for 75% Efficiency</t>
  </si>
  <si>
    <t xml:space="preserve">Target Cooled Post Boil Kettle pH (Ideal Range = 5.0 – 5.2)</t>
  </si>
  <si>
    <t xml:space="preserve">mL’s of 80% Lactic Acid to Add to Kettle</t>
  </si>
  <si>
    <t xml:space="preserve">mL’s of 88% Lactic Acid to Add to Kettle</t>
  </si>
  <si>
    <t xml:space="preserve">mL’s of 10% Phosphoric Acid to Add to Kettle</t>
  </si>
  <si>
    <t xml:space="preserve">mL’s of 75% Phosphoric Acid to Add to Kettle</t>
  </si>
  <si>
    <t xml:space="preserve">mL’s of 85% Phosphoric Acid to Add to Kettle</t>
  </si>
  <si>
    <t xml:space="preserve">Grams of Anhydrous Citric Acid to Add to Kettle</t>
  </si>
  <si>
    <t xml:space="preserve">Weight (Lbs.)</t>
  </si>
  <si>
    <t xml:space="preserve">Water Volume &amp; pH Temp. Compensator</t>
  </si>
  <si>
    <t xml:space="preserve">`</t>
  </si>
  <si>
    <t xml:space="preserve">Post Lauter &amp; Pre-Boil Temp. (F.)</t>
  </si>
  <si>
    <t xml:space="preserve">Post Lauter &amp; Pre-Boil Vol. (Gal.)</t>
  </si>
  <si>
    <t xml:space="preserve">Act. Temp. Of Measured pH (Ideal Is 68 F.)</t>
  </si>
  <si>
    <t xml:space="preserve">Cooled Pre-Boil Volume (Gallons)</t>
  </si>
  <si>
    <t xml:space="preserve">Specific Gravity or Plato Selector</t>
  </si>
  <si>
    <t xml:space="preserve">Temp.</t>
  </si>
  <si>
    <t xml:space="preserve">Output</t>
  </si>
  <si>
    <t xml:space="preserve">(F.)</t>
  </si>
  <si>
    <t xml:space="preserve">(Gallons)</t>
  </si>
  <si>
    <t xml:space="preserve">Specific Gravity</t>
  </si>
  <si>
    <t xml:space="preserve">(Enter Data Requested Here First, Then Proceed to KpHME above)</t>
  </si>
  <si>
    <t xml:space="preserve">Plato</t>
  </si>
  <si>
    <t xml:space="preserve">  Users  Lactic Acid % Concentration Selector</t>
  </si>
  <si>
    <t xml:space="preserve">Lactic Acid % (drop down) =</t>
  </si>
  <si>
    <t xml:space="preserve">  Users  Phosphoric Acid % Concentration Selector</t>
  </si>
  <si>
    <t xml:space="preserve">Phosphoric Acid % (drop down) =</t>
  </si>
  <si>
    <t xml:space="preserve">  88% Lactic Acid Molarity/Normality at Sparge pH Target</t>
  </si>
  <si>
    <t xml:space="preserve">Concentration</t>
  </si>
  <si>
    <t xml:space="preserve">Density</t>
  </si>
  <si>
    <t xml:space="preserve">mL</t>
  </si>
  <si>
    <t xml:space="preserve">weight</t>
  </si>
  <si>
    <t xml:space="preserve">acid wt.</t>
  </si>
  <si>
    <t xml:space="preserve">Mole Wt.</t>
  </si>
  <si>
    <t xml:space="preserve">Molarity</t>
  </si>
  <si>
    <t xml:space="preserve">Normality</t>
  </si>
  <si>
    <t xml:space="preserve">Lactic Acid %</t>
  </si>
  <si>
    <t xml:space="preserve">actual</t>
  </si>
  <si>
    <t xml:space="preserve">pKa1</t>
  </si>
  <si>
    <t xml:space="preserve">Adjusted</t>
  </si>
  <si>
    <t xml:space="preserve">For 88%</t>
  </si>
  <si>
    <t xml:space="preserve">percent</t>
  </si>
  <si>
    <t xml:space="preserve">%Diss</t>
  </si>
  <si>
    <t xml:space="preserve">mEq/mL</t>
  </si>
  <si>
    <t xml:space="preserve">Ratio</t>
  </si>
  <si>
    <t xml:space="preserve">Phosphoric Acid %</t>
  </si>
  <si>
    <t xml:space="preserve">pKa2</t>
  </si>
  <si>
    <t xml:space="preserve">For 10%</t>
  </si>
  <si>
    <t xml:space="preserve">%Diss.</t>
  </si>
  <si>
    <t xml:space="preserve">Required User Input</t>
  </si>
  <si>
    <t xml:space="preserve">(If Dry)</t>
  </si>
  <si>
    <t xml:space="preserve">(if Liquid)</t>
  </si>
  <si>
    <t xml:space="preserve">Percent</t>
  </si>
  <si>
    <t xml:space="preserve">Enter</t>
  </si>
  <si>
    <t xml:space="preserve">Chloride </t>
  </si>
  <si>
    <t xml:space="preserve">Solutions</t>
  </si>
  <si>
    <t xml:space="preserve">Equivalent</t>
  </si>
  <si>
    <t xml:space="preserve">Equivalent </t>
  </si>
  <si>
    <t xml:space="preserve">Prills/Crystal</t>
  </si>
  <si>
    <t xml:space="preserve">Type</t>
  </si>
  <si>
    <t xml:space="preserve">Of Prills/Crystal</t>
  </si>
  <si>
    <t xml:space="preserve">Specific</t>
  </si>
  <si>
    <t xml:space="preserve">Anhydrous </t>
  </si>
  <si>
    <t xml:space="preserve">Per</t>
  </si>
  <si>
    <t xml:space="preserve">Anhydrous</t>
  </si>
  <si>
    <t xml:space="preserve">Liquid</t>
  </si>
  <si>
    <t xml:space="preserve">Gravity</t>
  </si>
  <si>
    <t xml:space="preserve">Ppm Ca++</t>
  </si>
  <si>
    <t xml:space="preserve">Ppm Cl-</t>
  </si>
  <si>
    <t xml:space="preserve">CaCl2 Prills/Crystal</t>
  </si>
  <si>
    <t xml:space="preserve">Concentration Assistant</t>
  </si>
  <si>
    <t xml:space="preserve">Dihydrate State = 75.5%</t>
  </si>
  <si>
    <t xml:space="preserve">Drop Down User input</t>
  </si>
  <si>
    <t xml:space="preserve">Anhydride State = 100%</t>
  </si>
  <si>
    <t xml:space="preserve">S.G. User input</t>
  </si>
  <si>
    <t xml:space="preserve">Avg. Fresh &amp; Newly Opened Container = ~94%</t>
  </si>
  <si>
    <t xml:space="preserve">NOTE: Calcium Chloride as ‘Prills/Crystal’ continuously picks up moisture from the air and over time its Percent concentration Declines</t>
  </si>
  <si>
    <t xml:space="preserve">IBU Calculator: Pellet Modified Tinseth Method</t>
  </si>
  <si>
    <t xml:space="preserve">Addition’s</t>
  </si>
  <si>
    <t xml:space="preserve">Calculated</t>
  </si>
  <si>
    <t xml:space="preserve">(Type)</t>
  </si>
  <si>
    <t xml:space="preserve">Current Volume</t>
  </si>
  <si>
    <t xml:space="preserve">Wort’s</t>
  </si>
  <si>
    <t xml:space="preserve">Modified</t>
  </si>
  <si>
    <t xml:space="preserve">Pellet</t>
  </si>
  <si>
    <t xml:space="preserve">Weight</t>
  </si>
  <si>
    <t xml:space="preserve">Pellet or</t>
  </si>
  <si>
    <t xml:space="preserve">Batches</t>
  </si>
  <si>
    <t xml:space="preserve">Of Wort and</t>
  </si>
  <si>
    <t xml:space="preserve">Current</t>
  </si>
  <si>
    <t xml:space="preserve">S.G.</t>
  </si>
  <si>
    <t xml:space="preserve">Tinseth</t>
  </si>
  <si>
    <t xml:space="preserve">Of Hops</t>
  </si>
  <si>
    <t xml:space="preserve">Leaf/Plug</t>
  </si>
  <si>
    <t xml:space="preserve">Hops</t>
  </si>
  <si>
    <t xml:space="preserve">% Alpha</t>
  </si>
  <si>
    <t xml:space="preserve">AAU’s</t>
  </si>
  <si>
    <t xml:space="preserve">Remaining Boil</t>
  </si>
  <si>
    <t xml:space="preserve">Post Boil And</t>
  </si>
  <si>
    <t xml:space="preserve">Trub at Room</t>
  </si>
  <si>
    <t xml:space="preserve">S.G. When</t>
  </si>
  <si>
    <t xml:space="preserve">Correction</t>
  </si>
  <si>
    <t xml:space="preserve">(Oz.)</t>
  </si>
  <si>
    <t xml:space="preserve">(Grams)</t>
  </si>
  <si>
    <t xml:space="preserve">Drop Down</t>
  </si>
  <si>
    <t xml:space="preserve">Name (Variety)</t>
  </si>
  <si>
    <t xml:space="preserve">(or) HBU’s</t>
  </si>
  <si>
    <t xml:space="preserve">Time (Min.)</t>
  </si>
  <si>
    <t xml:space="preserve">Cooling S.G (O.G.)</t>
  </si>
  <si>
    <t xml:space="preserve">Temp. (Gallons)</t>
  </si>
  <si>
    <t xml:space="preserve">Cooled</t>
  </si>
  <si>
    <t xml:space="preserve">Factor</t>
  </si>
  <si>
    <t xml:space="preserve">Utilization</t>
  </si>
  <si>
    <t xml:space="preserve">IBU’s</t>
  </si>
  <si>
    <t xml:space="preserve">Optional Golden Ratio</t>
  </si>
  <si>
    <t xml:space="preserve">Magnum</t>
  </si>
  <si>
    <t xml:space="preserve">IBU’s Calculator</t>
  </si>
  <si>
    <t xml:space="preserve">Liberty</t>
  </si>
  <si>
    <t xml:space="preserve">Desired</t>
  </si>
  <si>
    <t xml:space="preserve">None</t>
  </si>
  <si>
    <t xml:space="preserve">BU:GU</t>
  </si>
  <si>
    <t xml:space="preserve">Desired #</t>
  </si>
  <si>
    <t xml:space="preserve">Target IBU’s</t>
  </si>
  <si>
    <t xml:space="preserve">Of Additions</t>
  </si>
  <si>
    <t xml:space="preserve">Per Addition</t>
  </si>
  <si>
    <t xml:space="preserve">Original Gravity = </t>
  </si>
  <si>
    <t xml:space="preserve">Finished Beer IBU =  </t>
  </si>
  <si>
    <t xml:space="preserve">Appt. Attenuation = </t>
  </si>
  <si>
    <t xml:space="preserve">Sessions Total Planned Boil Time (Min.) =  </t>
  </si>
  <si>
    <t xml:space="preserve">Final Gravity = </t>
  </si>
  <si>
    <t xml:space="preserve">Anticipated Boil Off Rate : Gallons Per Hour =  </t>
  </si>
  <si>
    <t xml:space="preserve">BU:GU Ratio = </t>
  </si>
  <si>
    <t xml:space="preserve">Anticipated Post Boil and Cooling S.G. (O.G.) =  </t>
  </si>
  <si>
    <t xml:space="preserve">Rel. Bitterness = </t>
  </si>
  <si>
    <t xml:space="preserve">Initial Boil Volume (Gallons in kettle at Boil Temp) =  </t>
  </si>
  <si>
    <t xml:space="preserve">Alcohol (ABV) = </t>
  </si>
  <si>
    <t xml:space="preserve">~Initial Boil Volume (Gallons in kettle at Room Temp) =  </t>
  </si>
  <si>
    <t xml:space="preserve">Elev. Factor = </t>
  </si>
  <si>
    <t xml:space="preserve">Altitude (Feet) [For Elevation Factor and Boil Temp.] =  </t>
  </si>
  <si>
    <t xml:space="preserve">Boil Temp F. = </t>
  </si>
  <si>
    <t xml:space="preserve">Brewing Water Profiles</t>
  </si>
  <si>
    <t xml:space="preserve">                     Distilled or RO Water Mineralization Assistant **</t>
  </si>
  <si>
    <t xml:space="preserve">Beer: Style, Color</t>
  </si>
  <si>
    <t xml:space="preserve">CaSO4</t>
  </si>
  <si>
    <t xml:space="preserve">CaCl</t>
  </si>
  <si>
    <t xml:space="preserve">MgSO4</t>
  </si>
  <si>
    <t xml:space="preserve">NaCl</t>
  </si>
  <si>
    <t xml:space="preserve">NaHCO3 **</t>
  </si>
  <si>
    <t xml:space="preserve">Hoppy, Light</t>
  </si>
  <si>
    <t xml:space="preserve">** Copy and past this sheets suggested grams of minerals onto the main (Mash pH) sheet if you choose to use mineral profiles.  This is optional and at your discretion **</t>
  </si>
  <si>
    <t xml:space="preserve">** NOTE: These water mineralization profiles can also be used with other than distilled or RO water, but may require some level of tweaking post copy and paste for that case. **</t>
  </si>
  <si>
    <t xml:space="preserve">NaHCO3</t>
  </si>
  <si>
    <t xml:space="preserve">Balanced, Dark</t>
  </si>
  <si>
    <t xml:space="preserve">Balanced, Light</t>
  </si>
  <si>
    <t xml:space="preserve">Balanced, Medium</t>
  </si>
  <si>
    <t xml:space="preserve">Hoppy, Dark</t>
  </si>
  <si>
    <t xml:space="preserve">Hoppy, Medium</t>
  </si>
  <si>
    <t xml:space="preserve">Malty, Dark</t>
  </si>
  <si>
    <t xml:space="preserve">Malty, Light</t>
  </si>
  <si>
    <t xml:space="preserve">Malty, Medium</t>
  </si>
  <si>
    <t xml:space="preserve">New England IPA</t>
  </si>
  <si>
    <t xml:space="preserve">West Coast IPA</t>
  </si>
  <si>
    <t xml:space="preserve">Bottle Priming : Carbonation  Calculator</t>
  </si>
  <si>
    <t xml:space="preserve">Maximum</t>
  </si>
  <si>
    <t xml:space="preserve">Fermentation</t>
  </si>
  <si>
    <t xml:space="preserve">Bottling</t>
  </si>
  <si>
    <t xml:space="preserve">Carbonation</t>
  </si>
  <si>
    <t xml:space="preserve">Vol(s). CO2</t>
  </si>
  <si>
    <t xml:space="preserve">Vols. CO2</t>
  </si>
  <si>
    <t xml:space="preserve">Temperature</t>
  </si>
  <si>
    <t xml:space="preserve">To Be Added</t>
  </si>
  <si>
    <t xml:space="preserve">Corn Sugar</t>
  </si>
  <si>
    <t xml:space="preserve">Cane Sugar</t>
  </si>
  <si>
    <t xml:space="preserve">DME</t>
  </si>
  <si>
    <t xml:space="preserve">(Deg. F)</t>
  </si>
  <si>
    <t xml:space="preserve">(CO2 Volumes)</t>
  </si>
  <si>
    <t xml:space="preserve">In Batch</t>
  </si>
  <si>
    <t xml:space="preserve">To Batch</t>
  </si>
  <si>
    <t xml:space="preserve">(US Wgt. Oz.)</t>
  </si>
  <si>
    <t xml:space="preserve">(8 Oz. Cup Vol.)</t>
  </si>
  <si>
    <t xml:space="preserve">Estimated</t>
  </si>
  <si>
    <t xml:space="preserve">Bottle Size (Oz)</t>
  </si>
  <si>
    <t xml:space="preserve"># of Bottles </t>
  </si>
  <si>
    <t xml:space="preserve">Select Aggressive or Conservative Method (click on ‘drop down’ cell G19)</t>
  </si>
  <si>
    <t xml:space="preserve">Method :</t>
  </si>
  <si>
    <t xml:space="preserve">Aggressive</t>
  </si>
  <si>
    <t xml:space="preserve">Conservative</t>
  </si>
  <si>
    <t xml:space="preserve">Color Conversions</t>
  </si>
  <si>
    <t xml:space="preserve">EBC</t>
  </si>
  <si>
    <t xml:space="preserve">           mEq/mL @ Target pH</t>
  </si>
  <si>
    <t xml:space="preserve">       (*mEq/Gram for crystaline solid acids)</t>
  </si>
  <si>
    <t xml:space="preserve">Acids</t>
  </si>
  <si>
    <t xml:space="preserve">Percentage of Proton release </t>
  </si>
  <si>
    <t xml:space="preserve">  For full dissociation @ 25 C.</t>
  </si>
  <si>
    <t xml:space="preserve">First H+</t>
  </si>
  <si>
    <t xml:space="preserve">Second H+</t>
  </si>
  <si>
    <t xml:space="preserve">Third H+</t>
  </si>
  <si>
    <t xml:space="preserve">mEq/mL (or)</t>
  </si>
  <si>
    <t xml:space="preserve">mmole/mL</t>
  </si>
  <si>
    <t xml:space="preserve">PKa1 Percent</t>
  </si>
  <si>
    <t xml:space="preserve">PKa2 Percent</t>
  </si>
  <si>
    <t xml:space="preserve">PKa3 Percent</t>
  </si>
  <si>
    <t xml:space="preserve">mEq/gram*</t>
  </si>
  <si>
    <t xml:space="preserve">Physical</t>
  </si>
  <si>
    <t xml:space="preserve">Acid’s</t>
  </si>
  <si>
    <t xml:space="preserve">Content</t>
  </si>
  <si>
    <t xml:space="preserve">(or)</t>
  </si>
  <si>
    <t xml:space="preserve">Valence Associated</t>
  </si>
  <si>
    <t xml:space="preserve">Dissociation</t>
  </si>
  <si>
    <t xml:space="preserve">Strength</t>
  </si>
  <si>
    <t xml:space="preserve">State</t>
  </si>
  <si>
    <t xml:space="preserve">Name</t>
  </si>
  <si>
    <t xml:space="preserve">Valence</t>
  </si>
  <si>
    <t xml:space="preserve">MW</t>
  </si>
  <si>
    <t xml:space="preserve">Pct.</t>
  </si>
  <si>
    <t xml:space="preserve">density</t>
  </si>
  <si>
    <t xml:space="preserve">g/CC</t>
  </si>
  <si>
    <t xml:space="preserve"> mmole/Gr.</t>
  </si>
  <si>
    <t xml:space="preserve">mEq/Gr.</t>
  </si>
  <si>
    <t xml:space="preserve">pKa3</t>
  </si>
  <si>
    <t xml:space="preserve">At Target pH</t>
  </si>
  <si>
    <t xml:space="preserve">@ Target pH</t>
  </si>
  <si>
    <t xml:space="preserve">Lactic Acid 88%</t>
  </si>
  <si>
    <t xml:space="preserve">Lactic Acid 80%</t>
  </si>
  <si>
    <t xml:space="preserve">Phosphoric 85%</t>
  </si>
  <si>
    <t xml:space="preserve">Phosphoric 75%</t>
  </si>
  <si>
    <t xml:space="preserve">Phosphoric 30%</t>
  </si>
  <si>
    <t xml:space="preserve">Phosphoric 10%</t>
  </si>
  <si>
    <t xml:space="preserve">Solid</t>
  </si>
  <si>
    <t xml:space="preserve">Cit. Acid Mono_H</t>
  </si>
  <si>
    <t xml:space="preserve">Ascorbic Acid</t>
  </si>
  <si>
    <t xml:space="preserve">Baking Soda</t>
  </si>
  <si>
    <t xml:space="preserve">Ca(OH)2</t>
  </si>
  <si>
    <t xml:space="preserve">         SRM Made Easy  V_1.10</t>
  </si>
  <si>
    <t xml:space="preserve">Final Beer SRM, Grist Wt., % Deep Roasted, and OG based Mash pH Adjustment Assistant</t>
  </si>
  <si>
    <t xml:space="preserve">Final</t>
  </si>
  <si>
    <t xml:space="preserve">Percentage</t>
  </si>
  <si>
    <t xml:space="preserve">Mash H2O</t>
  </si>
  <si>
    <t xml:space="preserve">1.050 OG</t>
  </si>
  <si>
    <t xml:space="preserve">Grists</t>
  </si>
  <si>
    <t xml:space="preserve">Pre-Adj.</t>
  </si>
  <si>
    <t xml:space="preserve">User</t>
  </si>
  <si>
    <t xml:space="preserve">Grist’s Primary</t>
  </si>
  <si>
    <t xml:space="preserve">Grist</t>
  </si>
  <si>
    <t xml:space="preserve">Of Grist Wt.</t>
  </si>
  <si>
    <t xml:space="preserve">Normalized</t>
  </si>
  <si>
    <t xml:space="preserve">Est. DI</t>
  </si>
  <si>
    <t xml:space="preserve">Grist </t>
  </si>
  <si>
    <t xml:space="preserve">Selected</t>
  </si>
  <si>
    <t xml:space="preserve">(or) Base</t>
  </si>
  <si>
    <t xml:space="preserve">OG</t>
  </si>
  <si>
    <t xml:space="preserve">Mash pH</t>
  </si>
  <si>
    <t xml:space="preserve">Base Malt Type</t>
  </si>
  <si>
    <t xml:space="preserve">Wt. (Lb)</t>
  </si>
  <si>
    <t xml:space="preserve">From Deep</t>
  </si>
  <si>
    <t xml:space="preserve">Volume (G)</t>
  </si>
  <si>
    <t xml:space="preserve">(ppm)</t>
  </si>
  <si>
    <t xml:space="preserve">Ca++</t>
  </si>
  <si>
    <t xml:space="preserve">Mg++</t>
  </si>
  <si>
    <t xml:space="preserve">Adjustment</t>
  </si>
  <si>
    <t xml:space="preserve">Roasted</t>
  </si>
  <si>
    <t xml:space="preserve">(add to mash)</t>
  </si>
  <si>
    <t xml:space="preserve">G. Promise, Crisp MO</t>
  </si>
  <si>
    <t xml:space="preserve">88% Lactic </t>
  </si>
  <si>
    <t xml:space="preserve">~5L to 6L Base Malts</t>
  </si>
  <si>
    <t xml:space="preserve">N.A. 2-Row Brewers</t>
  </si>
  <si>
    <t xml:space="preserve">Generic 2-Row</t>
  </si>
  <si>
    <t xml:space="preserve">85% Phos.</t>
  </si>
  <si>
    <t xml:space="preserve">Pale, Vienna</t>
  </si>
  <si>
    <t xml:space="preserve"> User Input</t>
  </si>
  <si>
    <t xml:space="preserve">75% Phos.</t>
  </si>
  <si>
    <t xml:space="preserve"> Drop Down User Input</t>
  </si>
  <si>
    <t xml:space="preserve">30% Phos.</t>
  </si>
  <si>
    <t xml:space="preserve">Muntons Maris Otter</t>
  </si>
  <si>
    <t xml:space="preserve"> Calculated Output</t>
  </si>
  <si>
    <t xml:space="preserve">10% Phos.</t>
  </si>
  <si>
    <t xml:space="preserve">Pilsner</t>
  </si>
  <si>
    <t xml:space="preserve"> Answer (Result)</t>
  </si>
</sst>
</file>

<file path=xl/styles.xml><?xml version="1.0" encoding="utf-8"?>
<styleSheet xmlns="http://schemas.openxmlformats.org/spreadsheetml/2006/main">
  <numFmts count="21">
    <numFmt numFmtId="164" formatCode="General"/>
    <numFmt numFmtId="165" formatCode="&quot;TRUE&quot;;&quot;TRUE&quot;;&quot;FALSE&quot;"/>
    <numFmt numFmtId="166" formatCode="0.0"/>
    <numFmt numFmtId="167" formatCode="#,##0.0000"/>
    <numFmt numFmtId="168" formatCode="#,##0.00"/>
    <numFmt numFmtId="169" formatCode="0.00"/>
    <numFmt numFmtId="170" formatCode="0"/>
    <numFmt numFmtId="171" formatCode="General"/>
    <numFmt numFmtId="172" formatCode="0.0000E+00"/>
    <numFmt numFmtId="173" formatCode="0.0000"/>
    <numFmt numFmtId="174" formatCode="0.00%"/>
    <numFmt numFmtId="175" formatCode="#,##0.0"/>
    <numFmt numFmtId="176" formatCode="0.0%"/>
    <numFmt numFmtId="177" formatCode="0%"/>
    <numFmt numFmtId="178" formatCode="0.000"/>
    <numFmt numFmtId="179" formatCode="#,##0.000"/>
    <numFmt numFmtId="180" formatCode="@"/>
    <numFmt numFmtId="181" formatCode="#,##0.00000"/>
    <numFmt numFmtId="182" formatCode="#,##0"/>
    <numFmt numFmtId="183" formatCode="0.0000000"/>
    <numFmt numFmtId="184" formatCode="0.0000000%"/>
  </numFmts>
  <fonts count="9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CC00"/>
      <name val="Arial"/>
      <family val="2"/>
      <charset val="1"/>
    </font>
    <font>
      <b val="true"/>
      <sz val="12"/>
      <color rgb="FFFFFFFF"/>
      <name val="Arial"/>
      <family val="2"/>
      <charset val="1"/>
    </font>
    <font>
      <sz val="10"/>
      <color rgb="FFFFFF66"/>
      <name val="Arial"/>
      <family val="2"/>
      <charset val="1"/>
    </font>
    <font>
      <sz val="10"/>
      <color rgb="FFD1A268"/>
      <name val="Arial"/>
      <family val="2"/>
      <charset val="1"/>
    </font>
    <font>
      <sz val="10"/>
      <color rgb="FFFFFFFF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2"/>
      <color rgb="FF000000"/>
      <name val="DejaVu Sans Condensed"/>
      <family val="2"/>
      <charset val="1"/>
    </font>
    <font>
      <sz val="10"/>
      <name val="DejaVu Sans Condensed"/>
      <family val="2"/>
      <charset val="1"/>
    </font>
    <font>
      <b val="true"/>
      <sz val="28"/>
      <color rgb="FF000000"/>
      <name val="DejaVu Sans Condensed"/>
      <family val="2"/>
      <charset val="1"/>
    </font>
    <font>
      <b val="true"/>
      <sz val="12"/>
      <color rgb="FFFFFFFF"/>
      <name val="DejaVu Sans Condensed"/>
      <family val="2"/>
      <charset val="1"/>
    </font>
    <font>
      <b val="true"/>
      <sz val="11"/>
      <color rgb="FF000000"/>
      <name val="DejaVu Sans Condensed"/>
      <family val="2"/>
      <charset val="1"/>
    </font>
    <font>
      <b val="true"/>
      <sz val="12"/>
      <name val="DejaVu Sans Condensed"/>
      <family val="2"/>
      <charset val="1"/>
    </font>
    <font>
      <b val="true"/>
      <i val="true"/>
      <sz val="12"/>
      <color rgb="FF000000"/>
      <name val="DejaVu Sans Condensed"/>
      <family val="2"/>
      <charset val="1"/>
    </font>
    <font>
      <b val="true"/>
      <sz val="10"/>
      <color rgb="FFFFFFFF"/>
      <name val="DejaVu Sans Condensed"/>
      <family val="2"/>
      <charset val="1"/>
    </font>
    <font>
      <sz val="10"/>
      <color rgb="FFFFFFFF"/>
      <name val="DejaVu Sans Condensed"/>
      <family val="2"/>
      <charset val="1"/>
    </font>
    <font>
      <b val="true"/>
      <sz val="14"/>
      <name val="DejaVu Sans Condensed"/>
      <family val="2"/>
      <charset val="1"/>
    </font>
    <font>
      <b val="true"/>
      <sz val="14"/>
      <color rgb="FF000000"/>
      <name val="DejaVu Sans Condensed"/>
      <family val="2"/>
      <charset val="1"/>
    </font>
    <font>
      <b val="true"/>
      <sz val="11"/>
      <name val="DejaVu Sans Condensed"/>
      <family val="2"/>
      <charset val="1"/>
    </font>
    <font>
      <b val="true"/>
      <sz val="10"/>
      <color rgb="FF000000"/>
      <name val="DejaVu Sans Condensed"/>
      <family val="2"/>
      <charset val="1"/>
    </font>
    <font>
      <b val="true"/>
      <sz val="10"/>
      <name val="DejaVu Sans Condensed"/>
      <family val="2"/>
      <charset val="1"/>
    </font>
    <font>
      <b val="true"/>
      <sz val="11"/>
      <color rgb="FFFFFFFF"/>
      <name val="DejaVu Sans Condensed"/>
      <family val="2"/>
      <charset val="1"/>
    </font>
    <font>
      <b val="true"/>
      <sz val="10"/>
      <name val="DejaVu Sans"/>
      <family val="2"/>
      <charset val="1"/>
    </font>
    <font>
      <b val="true"/>
      <sz val="9"/>
      <color rgb="FF000000"/>
      <name val="DejaVu Sans Condensed"/>
      <family val="2"/>
      <charset val="1"/>
    </font>
    <font>
      <b val="true"/>
      <sz val="12"/>
      <color rgb="FFFF0000"/>
      <name val="Arial"/>
      <family val="2"/>
      <charset val="1"/>
    </font>
    <font>
      <b val="true"/>
      <sz val="12"/>
      <color rgb="FF800000"/>
      <name val="DejaVu Sans Condensed"/>
      <family val="2"/>
      <charset val="1"/>
    </font>
    <font>
      <b val="true"/>
      <sz val="10.5"/>
      <name val="DejaVu Sans Condensed"/>
      <family val="2"/>
      <charset val="1"/>
    </font>
    <font>
      <b val="true"/>
      <sz val="10.5"/>
      <color rgb="FF000000"/>
      <name val="DejaVu Sans Condensed"/>
      <family val="2"/>
      <charset val="1"/>
    </font>
    <font>
      <b val="true"/>
      <u val="single"/>
      <sz val="16"/>
      <color rgb="FF000000"/>
      <name val="DejaVu Sans Condensed"/>
      <family val="2"/>
      <charset val="1"/>
    </font>
    <font>
      <b val="true"/>
      <sz val="12"/>
      <color rgb="FFC9211E"/>
      <name val="Arial"/>
      <family val="2"/>
      <charset val="1"/>
    </font>
    <font>
      <b val="true"/>
      <u val="single"/>
      <sz val="14"/>
      <color rgb="FF000000"/>
      <name val="DejaVu Sans Condensed"/>
      <family val="2"/>
      <charset val="1"/>
    </font>
    <font>
      <b val="true"/>
      <sz val="8"/>
      <color rgb="FFFFFFFF"/>
      <name val="Arial"/>
      <family val="2"/>
      <charset val="1"/>
    </font>
    <font>
      <b val="true"/>
      <sz val="8"/>
      <color rgb="FFFFFFFF"/>
      <name val="DejaVu Sans Condensed"/>
      <family val="2"/>
      <charset val="1"/>
    </font>
    <font>
      <b val="true"/>
      <sz val="26"/>
      <name val="Arial"/>
      <family val="2"/>
      <charset val="1"/>
    </font>
    <font>
      <b val="true"/>
      <sz val="14"/>
      <name val="Arial"/>
      <family val="2"/>
      <charset val="1"/>
    </font>
    <font>
      <b val="true"/>
      <sz val="14"/>
      <color rgb="FF000000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28"/>
      <name val="DejaVu Sans Condensed"/>
      <family val="2"/>
      <charset val="1"/>
    </font>
    <font>
      <b val="true"/>
      <sz val="13"/>
      <name val="DejaVu Sans Condensed"/>
      <family val="2"/>
      <charset val="1"/>
    </font>
    <font>
      <b val="true"/>
      <sz val="11"/>
      <name val="Arial"/>
      <family val="2"/>
      <charset val="1"/>
    </font>
    <font>
      <b val="true"/>
      <sz val="11"/>
      <name val="Aerial"/>
      <family val="0"/>
      <charset val="1"/>
    </font>
    <font>
      <b val="true"/>
      <sz val="24"/>
      <name val="Arial"/>
      <family val="2"/>
      <charset val="1"/>
    </font>
    <font>
      <b val="true"/>
      <sz val="16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0"/>
      <name val="Aerial"/>
      <family val="0"/>
      <charset val="1"/>
    </font>
    <font>
      <b val="true"/>
      <i val="true"/>
      <sz val="14"/>
      <color rgb="FF000000"/>
      <name val="Arial"/>
      <family val="2"/>
      <charset val="1"/>
    </font>
    <font>
      <sz val="10"/>
      <color rgb="FFCE181E"/>
      <name val="Arial"/>
      <family val="2"/>
      <charset val="1"/>
    </font>
    <font>
      <b val="true"/>
      <i val="true"/>
      <sz val="24"/>
      <name val="DejaVu Sans Condensed"/>
      <family val="2"/>
      <charset val="1"/>
    </font>
    <font>
      <b val="true"/>
      <sz val="9"/>
      <name val="DejaVu Sans Condensed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20"/>
      <name val="DejaVu Sans Condensed"/>
      <family val="2"/>
      <charset val="1"/>
    </font>
    <font>
      <b val="true"/>
      <sz val="18"/>
      <name val="Arial"/>
      <family val="2"/>
      <charset val="1"/>
    </font>
    <font>
      <b val="true"/>
      <sz val="9"/>
      <name val="DejaVu Sans"/>
      <family val="2"/>
      <charset val="1"/>
    </font>
    <font>
      <sz val="12"/>
      <name val="Arial"/>
      <family val="2"/>
      <charset val="1"/>
    </font>
    <font>
      <b val="true"/>
      <sz val="22"/>
      <name val="Arial"/>
      <family val="2"/>
      <charset val="1"/>
    </font>
    <font>
      <sz val="6.4"/>
      <color rgb="FF333333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14"/>
      <color rgb="FFFF3300"/>
      <name val="Arial"/>
      <family val="2"/>
      <charset val="1"/>
    </font>
    <font>
      <b val="true"/>
      <sz val="14"/>
      <color rgb="FFFFFFFF"/>
      <name val="Arial"/>
      <family val="2"/>
      <charset val="1"/>
    </font>
    <font>
      <b val="true"/>
      <u val="single"/>
      <sz val="14"/>
      <name val="Arial"/>
      <family val="2"/>
      <charset val="1"/>
    </font>
    <font>
      <b val="true"/>
      <sz val="18"/>
      <color rgb="FF000000"/>
      <name val="Arial"/>
      <family val="2"/>
      <charset val="1"/>
    </font>
    <font>
      <b val="true"/>
      <sz val="15"/>
      <name val="Arial"/>
      <family val="2"/>
      <charset val="1"/>
    </font>
    <font>
      <b val="true"/>
      <i val="true"/>
      <sz val="26"/>
      <name val="DejaVu Sans Condensed"/>
      <family val="2"/>
      <charset val="1"/>
    </font>
    <font>
      <sz val="12"/>
      <name val="DejaVu Sans Condensed"/>
      <family val="2"/>
      <charset val="1"/>
    </font>
    <font>
      <sz val="12"/>
      <color rgb="FFFFFFFF"/>
      <name val="DejaVu Sans Condensed"/>
      <family val="2"/>
      <charset val="1"/>
    </font>
    <font>
      <b val="true"/>
      <u val="single"/>
      <sz val="13"/>
      <color rgb="FF000000"/>
      <name val="DejaVu Sans Condensed"/>
      <family val="2"/>
      <charset val="1"/>
    </font>
    <font>
      <sz val="12"/>
      <color rgb="FF000000"/>
      <name val="DejaVu Sans Condensed"/>
      <family val="2"/>
      <charset val="1"/>
    </font>
    <font>
      <b val="true"/>
      <i val="true"/>
      <sz val="14"/>
      <name val="DejaVu Sans Condensed"/>
      <family val="2"/>
      <charset val="1"/>
    </font>
    <font>
      <b val="true"/>
      <i val="true"/>
      <sz val="28"/>
      <name val="Arial"/>
      <family val="2"/>
      <charset val="1"/>
    </font>
    <font>
      <b val="true"/>
      <sz val="16"/>
      <name val="DejaVu Sans Condensed"/>
      <family val="2"/>
      <charset val="1"/>
    </font>
    <font>
      <b val="true"/>
      <sz val="16"/>
      <color rgb="FFFFFFFF"/>
      <name val="DejaVu Sans Condensed"/>
      <family val="2"/>
      <charset val="1"/>
    </font>
    <font>
      <b val="true"/>
      <i val="true"/>
      <sz val="16"/>
      <color rgb="FFFFFFFF"/>
      <name val="DejaVu Sans Condensed"/>
      <family val="2"/>
      <charset val="1"/>
    </font>
    <font>
      <b val="true"/>
      <sz val="13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4"/>
      <name val="Arial"/>
      <family val="2"/>
      <charset val="1"/>
    </font>
    <font>
      <b val="true"/>
      <i val="true"/>
      <sz val="28"/>
      <name val="DejaVu Sans Condensed"/>
      <family val="2"/>
      <charset val="1"/>
    </font>
    <font>
      <sz val="14"/>
      <name val="DejaVu Sans Condensed"/>
      <family val="2"/>
      <charset val="1"/>
    </font>
    <font>
      <sz val="14"/>
      <color rgb="FFFFFFFF"/>
      <name val="DejaVu Sans Condensed"/>
      <family val="2"/>
      <charset val="1"/>
    </font>
    <font>
      <b val="true"/>
      <i val="true"/>
      <sz val="26"/>
      <name val="Arial"/>
      <family val="2"/>
      <charset val="1"/>
    </font>
    <font>
      <b val="true"/>
      <sz val="8"/>
      <name val="Arial"/>
      <family val="2"/>
      <charset val="1"/>
    </font>
    <font>
      <b val="true"/>
      <i val="true"/>
      <sz val="18"/>
      <name val="Arial"/>
      <family val="2"/>
      <charset val="1"/>
    </font>
    <font>
      <b val="true"/>
      <sz val="12"/>
      <color rgb="FF000000"/>
      <name val="Times New Roman"/>
      <family val="1"/>
      <charset val="1"/>
    </font>
    <font>
      <b val="true"/>
      <sz val="12"/>
      <color rgb="FFFF0000"/>
      <name val="Times New Roman"/>
      <family val="1"/>
      <charset val="1"/>
    </font>
    <font>
      <b val="true"/>
      <sz val="12"/>
      <color rgb="FFC9211E"/>
      <name val="Times New Roman"/>
      <family val="1"/>
      <charset val="1"/>
    </font>
    <font>
      <b val="true"/>
      <sz val="8"/>
      <color rgb="FFFFFFFF"/>
      <name val="arial"/>
      <family val="2"/>
      <charset val="1"/>
    </font>
    <font>
      <b val="true"/>
      <sz val="12"/>
      <color rgb="FFFFFFFF"/>
      <name val="Times New Roman"/>
      <family val="1"/>
      <charset val="1"/>
    </font>
    <font>
      <b val="true"/>
      <u val="single"/>
      <sz val="12"/>
      <name val="Arial"/>
      <family val="2"/>
      <charset val="1"/>
    </font>
  </fonts>
  <fills count="27">
    <fill>
      <patternFill patternType="none"/>
    </fill>
    <fill>
      <patternFill patternType="gray125"/>
    </fill>
    <fill>
      <patternFill patternType="solid">
        <fgColor rgb="FFE5792F"/>
        <bgColor rgb="FFDA7402"/>
      </patternFill>
    </fill>
    <fill>
      <patternFill patternType="solid">
        <fgColor rgb="FF99FF66"/>
        <bgColor rgb="FF66FF00"/>
      </patternFill>
    </fill>
    <fill>
      <patternFill patternType="solid">
        <fgColor rgb="FFFF3333"/>
        <bgColor rgb="FFFF3300"/>
      </patternFill>
    </fill>
    <fill>
      <patternFill patternType="solid">
        <fgColor rgb="FFFFFFFF"/>
        <bgColor rgb="FFCCFFFF"/>
      </patternFill>
    </fill>
    <fill>
      <patternFill patternType="solid">
        <fgColor rgb="FFFF9900"/>
        <bgColor rgb="FFFB9403"/>
      </patternFill>
    </fill>
    <fill>
      <patternFill patternType="solid">
        <fgColor rgb="FFFFFF66"/>
        <bgColor rgb="FFFBFA3B"/>
      </patternFill>
    </fill>
    <fill>
      <patternFill patternType="solid">
        <fgColor rgb="FFFFCC00"/>
        <bgColor rgb="FFFAC11A"/>
      </patternFill>
    </fill>
    <fill>
      <patternFill patternType="solid">
        <fgColor rgb="FFD1A268"/>
        <bgColor rgb="FFE2A712"/>
      </patternFill>
    </fill>
    <fill>
      <patternFill patternType="solid">
        <fgColor rgb="FFFF3300"/>
        <bgColor rgb="FFFF3333"/>
      </patternFill>
    </fill>
    <fill>
      <patternFill patternType="solid">
        <fgColor rgb="FF000000"/>
        <bgColor rgb="FF030100"/>
      </patternFill>
    </fill>
    <fill>
      <patternFill patternType="solid">
        <fgColor rgb="FFFFFF00"/>
        <bgColor rgb="FFFFF200"/>
      </patternFill>
    </fill>
    <fill>
      <patternFill patternType="solid">
        <fgColor rgb="FF9999FF"/>
        <bgColor rgb="FFCC99FF"/>
      </patternFill>
    </fill>
    <fill>
      <patternFill patternType="solid">
        <fgColor rgb="FFFF9999"/>
        <bgColor rgb="FFD1A268"/>
      </patternFill>
    </fill>
    <fill>
      <patternFill patternType="solid">
        <fgColor rgb="FFFF6600"/>
        <bgColor rgb="FFDA7402"/>
      </patternFill>
    </fill>
    <fill>
      <patternFill patternType="solid">
        <fgColor rgb="FFCC9900"/>
        <bgColor rgb="FFE2A712"/>
      </patternFill>
    </fill>
    <fill>
      <patternFill patternType="solid">
        <fgColor rgb="FF66FF00"/>
        <bgColor rgb="FF99FF66"/>
      </patternFill>
    </fill>
    <fill>
      <patternFill patternType="solid">
        <fgColor rgb="FFFF66FF"/>
        <bgColor rgb="FFCC99FF"/>
      </patternFill>
    </fill>
    <fill>
      <patternFill patternType="solid">
        <fgColor rgb="FF3399FF"/>
        <bgColor rgb="FF00CCFF"/>
      </patternFill>
    </fill>
    <fill>
      <patternFill patternType="solid">
        <fgColor rgb="FFFFCCCC"/>
        <bgColor rgb="FFFF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FFFFFF"/>
      </patternFill>
    </fill>
    <fill>
      <patternFill patternType="solid">
        <fgColor rgb="FFFFFF99"/>
        <bgColor rgb="FFFFFF66"/>
      </patternFill>
    </fill>
    <fill>
      <patternFill patternType="solid">
        <fgColor rgb="FFFFF200"/>
        <bgColor rgb="FFFFFF00"/>
      </patternFill>
    </fill>
    <fill>
      <patternFill patternType="solid">
        <fgColor rgb="FFFF0000"/>
        <bgColor rgb="FFCE181E"/>
      </patternFill>
    </fill>
    <fill>
      <patternFill patternType="solid">
        <fgColor rgb="FF996633"/>
        <bgColor rgb="FFA34E0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/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/>
      <diagonal/>
    </border>
    <border diagonalUp="false" diagonalDown="false">
      <left/>
      <right/>
      <top/>
      <bottom style="thin">
        <color rgb="FFFFFFFF"/>
      </bottom>
      <diagonal/>
    </border>
    <border diagonalUp="false" diagonalDown="false">
      <left style="thin">
        <color rgb="FFFFFFFF"/>
      </left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FF9900"/>
      </left>
      <right style="thin">
        <color rgb="FFFF9900"/>
      </right>
      <top style="thin">
        <color rgb="FFFF9900"/>
      </top>
      <bottom style="thin">
        <color rgb="FFFF9900"/>
      </bottom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hair">
        <color rgb="FFB2B2B2"/>
      </left>
      <right style="hair">
        <color rgb="FFB2B2B2"/>
      </right>
      <top style="hair">
        <color rgb="FFB2B2B2"/>
      </top>
      <bottom style="hair">
        <color rgb="FFB2B2B2"/>
      </bottom>
      <diagonal/>
    </border>
    <border diagonalUp="false" diagonalDown="false">
      <left style="double"/>
      <right style="double"/>
      <top style="double"/>
      <bottom/>
      <diagonal/>
    </border>
    <border diagonalUp="false" diagonalDown="false">
      <left style="double"/>
      <right/>
      <top/>
      <bottom/>
      <diagonal/>
    </border>
    <border diagonalUp="false" diagonalDown="false">
      <left style="double"/>
      <right style="double"/>
      <top/>
      <bottom/>
      <diagonal/>
    </border>
    <border diagonalUp="false" diagonalDown="false">
      <left/>
      <right style="double"/>
      <top/>
      <bottom/>
      <diagonal/>
    </border>
    <border diagonalUp="false" diagonalDown="false">
      <left style="double"/>
      <right style="thin">
        <color rgb="FFFFFFFF"/>
      </right>
      <top/>
      <bottom/>
      <diagonal/>
    </border>
    <border diagonalUp="false" diagonalDown="false">
      <left/>
      <right style="double"/>
      <top/>
      <bottom style="thin">
        <color rgb="FFFFFFFF"/>
      </bottom>
      <diagonal/>
    </border>
    <border diagonalUp="false" diagonalDown="false">
      <left/>
      <right style="double"/>
      <top style="thin">
        <color rgb="FFFFFFFF"/>
      </top>
      <bottom style="thin">
        <color rgb="FFFFFFFF"/>
      </bottom>
      <diagonal/>
    </border>
    <border diagonalUp="false" diagonalDown="false">
      <left style="double"/>
      <right/>
      <top/>
      <bottom style="double"/>
      <diagonal/>
    </border>
    <border diagonalUp="false" diagonalDown="false">
      <left/>
      <right style="double"/>
      <top style="thin">
        <color rgb="FFFFFFFF"/>
      </top>
      <bottom/>
      <diagonal/>
    </border>
    <border diagonalUp="false" diagonalDown="false">
      <left/>
      <right/>
      <top style="double"/>
      <bottom/>
      <diagonal/>
    </border>
    <border diagonalUp="false" diagonalDown="false">
      <left style="thin"/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3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center" vertical="center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7" fillId="0" borderId="0" applyFont="true" applyBorder="false" applyAlignment="true" applyProtection="false">
      <alignment horizontal="center" vertical="center" textRotation="0" wrapText="false" indent="0" shrinkToFit="false"/>
    </xf>
  </cellStyleXfs>
  <cellXfs count="50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5" fillId="0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1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5" fontId="11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6" fontId="13" fillId="5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0" fillId="0" borderId="3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4" fillId="6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5" fillId="7" borderId="0" xfId="0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64" fontId="14" fillId="6" borderId="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6" fontId="10" fillId="8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6" fontId="13" fillId="5" borderId="2" xfId="0" applyFont="true" applyBorder="true" applyAlignment="true" applyProtection="true">
      <alignment horizontal="center" vertical="bottom" textRotation="0" wrapText="true" indent="0" shrinkToFit="false"/>
      <protection locked="true" hidden="true"/>
    </xf>
    <xf numFmtId="164" fontId="13" fillId="0" borderId="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6" fillId="0" borderId="2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17" fillId="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7" fontId="16" fillId="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8" fontId="16" fillId="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6" fontId="10" fillId="6" borderId="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8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3" fillId="5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9" fontId="13" fillId="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8" fontId="19" fillId="7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20" fillId="7" borderId="2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70" fontId="18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0" fillId="9" borderId="2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10" fillId="7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10" fillId="8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9" fontId="15" fillId="7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10" fillId="7" borderId="2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8" fontId="13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15" fillId="7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19" fillId="7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19" fillId="8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1" fillId="6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7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0" fillId="7" borderId="2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71" fontId="20" fillId="8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9" fontId="20" fillId="8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8" fontId="20" fillId="8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0" fillId="6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2" fillId="6" borderId="2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71" fontId="10" fillId="8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1" fillId="6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10" fillId="8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21" fillId="6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13" fillId="5" borderId="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21" fillId="6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3" fillId="6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1" fontId="15" fillId="8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9" fontId="10" fillId="7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13" fillId="5" borderId="0" xfId="0" applyFont="true" applyBorder="false" applyAlignment="true" applyProtection="true">
      <alignment horizontal="right" vertical="center" textRotation="0" wrapText="false" indent="0" shrinkToFit="false"/>
      <protection locked="false" hidden="false"/>
    </xf>
    <xf numFmtId="167" fontId="13" fillId="0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3" fontId="13" fillId="0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3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74" fontId="15" fillId="7" borderId="2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71" fontId="22" fillId="6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2" fillId="6" borderId="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24" fillId="5" borderId="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75" fontId="20" fillId="8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6" fontId="20" fillId="8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6" fontId="20" fillId="8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3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8" fontId="10" fillId="7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76" fontId="10" fillId="8" borderId="0" xfId="0" applyFont="true" applyBorder="false" applyAlignment="true" applyProtection="true">
      <alignment horizontal="center" vertical="center" textRotation="0" wrapText="true" indent="0" shrinkToFit="false"/>
      <protection locked="true" hidden="true"/>
    </xf>
    <xf numFmtId="168" fontId="10" fillId="7" borderId="2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25" fillId="6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7" fontId="26" fillId="8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9" fillId="7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9" fillId="1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8" fontId="19" fillId="8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9" fontId="20" fillId="8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2" fillId="6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5" borderId="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78" fontId="13" fillId="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9" fillId="5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5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80" fontId="15" fillId="5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8" fontId="20" fillId="5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9" fontId="20" fillId="5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5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0" fillId="8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5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9" fontId="13" fillId="0" borderId="6" xfId="0" applyFont="true" applyBorder="true" applyAlignment="true" applyProtection="true">
      <alignment horizontal="center" vertical="bottom" textRotation="0" wrapText="true" indent="0" shrinkToFit="false"/>
      <protection locked="true" hidden="true"/>
    </xf>
    <xf numFmtId="164" fontId="21" fillId="6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9" fontId="14" fillId="9" borderId="2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27" fillId="0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0" fillId="9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0" fillId="7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8" fillId="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9" fillId="6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15" fillId="7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5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80" fontId="10" fillId="8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80" fontId="10" fillId="6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30" fillId="6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15" fillId="8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3" fillId="0" borderId="2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8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79" fontId="10" fillId="7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2" fillId="6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5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1" fillId="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32" fillId="0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2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33" fillId="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8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34" fillId="5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3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5" fillId="5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35" fillId="0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35" fillId="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36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37" fillId="6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37" fillId="4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37" fillId="11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71" fontId="37" fillId="12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6" fontId="37" fillId="12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71" fontId="37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9" fontId="37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6" fontId="37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78" fontId="37" fillId="6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3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78" fontId="3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0" xfId="0" applyFont="false" applyBorder="false" applyAlignment="true" applyProtection="true">
      <alignment horizontal="left" vertical="bottom" textRotation="0" wrapText="false" indent="0" shrinkToFit="false"/>
      <protection locked="true" hidden="true"/>
    </xf>
    <xf numFmtId="167" fontId="3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74" fontId="3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8" fontId="3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79" fontId="38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7" fontId="3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73" fontId="38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9" fontId="3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78" fontId="38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39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3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71" fontId="3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79" fontId="3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3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7" fillId="0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81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1" fillId="6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6" fontId="19" fillId="7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9" fillId="7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19" fillId="8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42" fillId="1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2" fillId="14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3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9" fillId="7" borderId="2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19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9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1" fillId="6" borderId="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74" fontId="19" fillId="7" borderId="2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41" fillId="6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4" fontId="19" fillId="8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6" fontId="19" fillId="8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9" fillId="8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2" xfId="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4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37" fillId="0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37" fillId="8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45" fillId="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9" fillId="0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80" fontId="9" fillId="0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80" fontId="9" fillId="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37" fillId="11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80" fontId="9" fillId="0" borderId="2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71" fontId="9" fillId="8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6" fontId="37" fillId="6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6" fontId="37" fillId="0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37" fillId="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8" fontId="37" fillId="6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46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6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46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6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6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6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7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8" fillId="0" borderId="7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9" fillId="8" borderId="7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4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9" borderId="7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9" fillId="15" borderId="7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37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6" fillId="1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37" fillId="1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37" fillId="8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37" fillId="8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5" fontId="37" fillId="8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7" fillId="9" borderId="2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8" fontId="37" fillId="15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7" fontId="37" fillId="15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82" fontId="37" fillId="15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5" fontId="37" fillId="15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37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8" fillId="0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9" fillId="7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5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9" fillId="0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39" fillId="0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4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9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75" fontId="8" fillId="0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5" borderId="2" xfId="0" applyFont="true" applyBorder="true" applyAlignment="true" applyProtection="true">
      <alignment horizontal="center" vertical="bottom" textRotation="0" wrapText="true" indent="0" shrinkToFit="false"/>
      <protection locked="true" hidden="tru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8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1" fontId="8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0" fillId="0" borderId="2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75" fontId="0" fillId="0" borderId="2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75" fontId="0" fillId="0" borderId="2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6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1" fontId="17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67" fontId="17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64" fontId="2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0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8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1" fillId="6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51" fillId="6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3" fillId="6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23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4" fontId="51" fillId="6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4" fontId="23" fillId="5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8" fontId="23" fillId="16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79" fontId="23" fillId="7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7" fontId="23" fillId="7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74" fontId="23" fillId="7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7" fontId="23" fillId="16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69" fontId="23" fillId="7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75" fontId="23" fillId="16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75" fontId="23" fillId="5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68" fontId="23" fillId="16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8" fontId="52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3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5" fillId="6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9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3" fillId="5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3" fillId="7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16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7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9" fillId="7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39" fillId="7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39" fillId="16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7" fillId="5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64" fontId="23" fillId="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7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73" fontId="8" fillId="0" borderId="0" xfId="0" applyFont="true" applyBorder="false" applyAlignment="true" applyProtection="true">
      <alignment horizontal="center" vertical="bottom" textRotation="0" wrapText="true" indent="0" shrinkToFit="false"/>
      <protection locked="true" hidden="true"/>
    </xf>
    <xf numFmtId="164" fontId="0" fillId="0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7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7" fillId="6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7" fillId="9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5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53" fillId="0" borderId="0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73" fontId="3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39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83" fontId="3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37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1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9" fillId="6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1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4" fontId="61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9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7" fillId="11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0" fillId="5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4" fontId="37" fillId="9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8" fontId="37" fillId="1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37" fillId="6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37" fillId="6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6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61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37" fillId="6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7" fillId="6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7" fillId="6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7" fillId="6" borderId="1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2" fillId="6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7" fillId="6" borderId="1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3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7" fillId="0" borderId="1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7" fillId="0" borderId="1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7" fillId="9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7" fillId="12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7" fillId="0" borderId="1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7" fillId="0" borderId="1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7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7" fillId="6" borderId="1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4" fillId="6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6" fillId="5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39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6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13" fillId="5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1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66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7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67" fillId="5" borderId="2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5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3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8" fontId="13" fillId="5" borderId="2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1" fontId="13" fillId="5" borderId="2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0" fillId="0" borderId="19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3" fillId="5" borderId="2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8" fontId="15" fillId="8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8" fontId="15" fillId="15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7" fontId="15" fillId="9" borderId="2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15" fillId="8" borderId="2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9" fontId="15" fillId="15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1" fontId="15" fillId="8" borderId="2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73" fontId="15" fillId="15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8" fontId="15" fillId="15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4" fontId="15" fillId="15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68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0" fillId="0" borderId="2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0" fillId="0" borderId="2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0" fillId="5" borderId="2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7" fontId="10" fillId="9" borderId="2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10" fillId="0" borderId="20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10" fillId="0" borderId="22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79" fontId="10" fillId="8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3" fillId="15" borderId="6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8" fontId="13" fillId="5" borderId="2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0" fillId="8" borderId="2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3" fillId="15" borderId="2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0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8" fontId="13" fillId="15" borderId="25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26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3" fillId="15" borderId="2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3" fillId="5" borderId="2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9" fillId="0" borderId="2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67" fillId="0" borderId="28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67" fillId="5" borderId="5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3" fillId="0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15" borderId="2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66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70" fillId="5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5" fillId="17" borderId="2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8" fontId="15" fillId="17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9" fillId="0" borderId="7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3" fillId="5" borderId="29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1" fillId="15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4" fontId="15" fillId="8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8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5" fillId="5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5" fillId="5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64" fontId="66" fillId="8" borderId="7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5" fillId="0" borderId="7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3" fillId="5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64" fontId="15" fillId="15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9" fontId="15" fillId="15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66" fillId="9" borderId="7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8" fontId="15" fillId="8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4" fontId="15" fillId="5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66" fillId="15" borderId="7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21" fillId="15" borderId="2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9" fontId="15" fillId="8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5" fillId="5" borderId="2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66" fillId="17" borderId="7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8" fontId="15" fillId="15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64" fontId="23" fillId="6" borderId="2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74" fontId="15" fillId="15" borderId="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5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70" fontId="15" fillId="8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5" fillId="15" borderId="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71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1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7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2" fillId="6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3" fillId="5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2" fillId="9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19" fillId="7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4" fillId="5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7" fillId="15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5" fillId="5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2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7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52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80" fontId="52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78" fontId="52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7" fillId="0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78" fillId="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9" fillId="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9" fillId="18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9" fillId="19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9" fillId="8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9" fillId="2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9" fillId="21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9" fillId="22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9" fillId="23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9" fillId="8" borderId="2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78" fontId="19" fillId="15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9" fontId="19" fillId="15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0" fontId="79" fillId="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9" fontId="79" fillId="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9" fillId="5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9" fillId="5" borderId="2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78" fontId="19" fillId="5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9" fontId="19" fillId="5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0" fontId="79" fillId="5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9" fontId="79" fillId="5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8" fontId="19" fillId="8" borderId="2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8" fontId="19" fillId="15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1" fontId="19" fillId="15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1" fontId="80" fillId="5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8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81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7" fillId="11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75" fontId="37" fillId="8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75" fontId="37" fillId="15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75" fontId="37" fillId="15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8" fontId="39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44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59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39" fillId="24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39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39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39" fillId="24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39" fillId="8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9" fontId="39" fillId="8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4" fontId="39" fillId="8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39" fillId="8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9" fontId="39" fillId="15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39" fillId="15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9" fillId="16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84" fontId="39" fillId="15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81" fontId="5" fillId="25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9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82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4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5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3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9" fillId="8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73" fontId="39" fillId="8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8" fontId="39" fillId="8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8" fontId="39" fillId="26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74" fontId="39" fillId="8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75" fontId="39" fillId="8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8" fontId="84" fillId="15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8" fontId="84" fillId="15" borderId="0" xfId="0" applyFont="true" applyBorder="false" applyAlignment="true" applyProtection="true">
      <alignment horizontal="center" vertical="bottom" textRotation="0" wrapText="true" indent="0" shrinkToFit="false"/>
      <protection locked="true" hidden="true"/>
    </xf>
    <xf numFmtId="168" fontId="9" fillId="15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8" fontId="9" fillId="26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8" fontId="9" fillId="4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78" fontId="39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3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8" fontId="85" fillId="0" borderId="0" xfId="0" applyFont="true" applyBorder="false" applyAlignment="true" applyProtection="true">
      <alignment horizontal="center" vertical="bottom" textRotation="0" wrapText="true" indent="0" shrinkToFit="false"/>
      <protection locked="true" hidden="true"/>
    </xf>
    <xf numFmtId="168" fontId="86" fillId="0" borderId="0" xfId="0" applyFont="true" applyBorder="false" applyAlignment="true" applyProtection="true">
      <alignment horizontal="center" vertical="bottom" textRotation="0" wrapText="true" indent="0" shrinkToFit="false"/>
      <protection locked="true" hidden="true"/>
    </xf>
    <xf numFmtId="168" fontId="32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87" fillId="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8" fontId="88" fillId="0" borderId="0" xfId="0" applyFont="true" applyBorder="false" applyAlignment="true" applyProtection="true">
      <alignment horizontal="center" vertical="bottom" textRotation="0" wrapText="true" indent="0" shrinkToFit="false"/>
      <protection locked="true" hidden="true"/>
    </xf>
    <xf numFmtId="168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8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81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87" fillId="5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81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8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89" fillId="0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39" fillId="12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39" fillId="0" borderId="0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87" fillId="0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39" fillId="26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5" fillId="0" borderId="0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39" fillId="15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39" fillId="4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71" fontId="52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82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39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78" fontId="39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82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8" fontId="85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8" fontId="88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8" fontId="86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8" fontId="32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</cellXfs>
  <cellStyles count="1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Untitled1" xfId="20"/>
    <cellStyle name="Untitled10" xfId="21"/>
    <cellStyle name="Untitled2" xfId="22"/>
    <cellStyle name="Untitled3" xfId="23"/>
    <cellStyle name="Untitled4" xfId="24"/>
    <cellStyle name="Untitled5" xfId="25"/>
    <cellStyle name="Untitled6" xfId="26"/>
    <cellStyle name="Untitled7" xfId="27"/>
    <cellStyle name="Untitled8" xfId="28"/>
    <cellStyle name="Untitled9" xfId="29"/>
  </cellStyles>
  <dxfs count="29">
    <dxf>
      <font>
        <name val="Arial"/>
        <charset val="1"/>
        <family val="2"/>
        <b val="0"/>
        <color rgb="FFFFFF66"/>
      </font>
    </dxf>
    <dxf>
      <font>
        <name val="Arial"/>
        <charset val="1"/>
        <family val="2"/>
        <b val="0"/>
        <color rgb="FFFFFF66"/>
      </font>
    </dxf>
    <dxf>
      <font>
        <name val="Arial"/>
        <charset val="1"/>
        <family val="2"/>
        <b val="0"/>
        <color rgb="FFFFCC00"/>
      </font>
    </dxf>
    <dxf>
      <font>
        <name val="Arial"/>
        <charset val="1"/>
        <family val="2"/>
        <b val="0"/>
        <color rgb="FFFFCC00"/>
      </font>
    </dxf>
    <dxf>
      <font>
        <name val="Arial"/>
        <charset val="1"/>
        <family val="2"/>
        <b val="0"/>
        <color rgb="FFD1A268"/>
      </font>
    </dxf>
    <dxf>
      <font>
        <name val="Arial"/>
        <charset val="1"/>
        <family val="2"/>
        <color rgb="FFD1A268"/>
      </font>
    </dxf>
    <dxf>
      <font>
        <name val="Arial"/>
        <charset val="1"/>
        <family val="2"/>
        <b val="1"/>
        <color rgb="FFFFFFFF"/>
        <sz val="12"/>
      </font>
      <fill>
        <patternFill>
          <bgColor rgb="FFE5792F"/>
        </patternFill>
      </fill>
    </dxf>
    <dxf>
      <font>
        <name val="Arial"/>
        <charset val="1"/>
        <family val="2"/>
      </font>
      <fill>
        <patternFill>
          <bgColor rgb="FFFBFA3B"/>
        </patternFill>
      </fill>
    </dxf>
    <dxf>
      <font>
        <name val="Arial"/>
        <charset val="1"/>
        <family val="2"/>
      </font>
      <fill>
        <patternFill>
          <bgColor rgb="FFFAE31F"/>
        </patternFill>
      </fill>
    </dxf>
    <dxf>
      <font>
        <name val="Arial"/>
        <charset val="1"/>
        <family val="2"/>
      </font>
      <fill>
        <patternFill>
          <bgColor rgb="FFFAC11A"/>
        </patternFill>
      </fill>
    </dxf>
    <dxf>
      <font>
        <name val="Arial"/>
        <charset val="1"/>
        <family val="2"/>
      </font>
      <fill>
        <patternFill>
          <bgColor rgb="FFE2A712"/>
        </patternFill>
      </fill>
    </dxf>
    <dxf>
      <font>
        <name val="Arial"/>
        <charset val="1"/>
        <family val="2"/>
      </font>
      <fill>
        <patternFill>
          <bgColor rgb="FFFB9403"/>
        </patternFill>
      </fill>
    </dxf>
    <dxf>
      <font>
        <name val="Arial"/>
        <charset val="1"/>
        <family val="2"/>
      </font>
      <fill>
        <patternFill>
          <bgColor rgb="FFDA7402"/>
        </patternFill>
      </fill>
    </dxf>
    <dxf>
      <font>
        <name val="Arial"/>
        <charset val="1"/>
        <family val="2"/>
      </font>
      <fill>
        <patternFill>
          <bgColor rgb="FFD97302"/>
        </patternFill>
      </fill>
    </dxf>
    <dxf>
      <font>
        <name val="Arial"/>
        <charset val="1"/>
        <family val="2"/>
      </font>
      <fill>
        <patternFill>
          <bgColor rgb="FFB85800"/>
        </patternFill>
      </fill>
    </dxf>
    <dxf>
      <font>
        <name val="Arial"/>
        <charset val="1"/>
        <family val="2"/>
      </font>
      <fill>
        <patternFill>
          <bgColor rgb="FFA34E00"/>
        </patternFill>
      </fill>
    </dxf>
    <dxf>
      <font>
        <name val="Arial"/>
        <charset val="1"/>
        <family val="2"/>
      </font>
      <fill>
        <patternFill>
          <bgColor rgb="FF8C3800"/>
        </patternFill>
      </fill>
    </dxf>
    <dxf>
      <font>
        <name val="Arial"/>
        <charset val="1"/>
        <family val="2"/>
      </font>
      <fill>
        <patternFill>
          <bgColor rgb="FF793000"/>
        </patternFill>
      </fill>
    </dxf>
    <dxf>
      <font>
        <name val="Arial"/>
        <charset val="1"/>
        <family val="2"/>
      </font>
      <fill>
        <patternFill>
          <bgColor rgb="FF793000"/>
        </patternFill>
      </fill>
    </dxf>
    <dxf>
      <font>
        <name val="Arial"/>
        <charset val="1"/>
        <family val="2"/>
      </font>
      <fill>
        <patternFill>
          <bgColor rgb="FF652800"/>
        </patternFill>
      </fill>
    </dxf>
    <dxf>
      <font>
        <name val="Arial"/>
        <charset val="1"/>
        <family val="2"/>
      </font>
      <fill>
        <patternFill>
          <bgColor rgb="FF512000"/>
        </patternFill>
      </fill>
    </dxf>
    <dxf>
      <font>
        <name val="Arial"/>
        <charset val="1"/>
        <family val="2"/>
      </font>
      <fill>
        <patternFill>
          <bgColor rgb="FF3F1900"/>
        </patternFill>
      </fill>
    </dxf>
    <dxf>
      <font>
        <name val="Arial"/>
        <charset val="1"/>
        <family val="2"/>
      </font>
      <fill>
        <patternFill>
          <bgColor rgb="FF28160B"/>
        </patternFill>
      </fill>
    </dxf>
    <dxf>
      <font>
        <name val="Arial"/>
        <charset val="1"/>
        <family val="2"/>
      </font>
      <fill>
        <patternFill>
          <bgColor rgb="FF28160B"/>
        </patternFill>
      </fill>
    </dxf>
    <dxf>
      <font>
        <name val="Arial"/>
        <charset val="1"/>
        <family val="2"/>
      </font>
      <fill>
        <patternFill>
          <bgColor rgb="FF1D1008"/>
        </patternFill>
      </fill>
    </dxf>
    <dxf>
      <font>
        <name val="Arial"/>
        <charset val="1"/>
        <family val="2"/>
      </font>
      <fill>
        <patternFill>
          <bgColor rgb="FF110905"/>
        </patternFill>
      </fill>
    </dxf>
    <dxf>
      <font>
        <name val="Arial"/>
        <charset val="1"/>
        <family val="2"/>
      </font>
      <fill>
        <patternFill>
          <bgColor rgb="FF030100"/>
        </patternFill>
      </fill>
    </dxf>
    <dxf>
      <font>
        <name val="Arial"/>
        <charset val="1"/>
        <family val="2"/>
      </font>
      <fill>
        <patternFill>
          <bgColor rgb="FF99FF66"/>
        </patternFill>
      </fill>
    </dxf>
    <dxf>
      <font>
        <name val="Arial"/>
        <charset val="1"/>
        <family val="2"/>
      </font>
      <fill>
        <patternFill>
          <bgColor rgb="FFFF3333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3333"/>
      <rgbColor rgb="FF00FFFF"/>
      <rgbColor rgb="FF800000"/>
      <rgbColor rgb="FFDA7402"/>
      <rgbColor rgb="FF110905"/>
      <rgbColor rgb="FF996633"/>
      <rgbColor rgb="FFCE181E"/>
      <rgbColor rgb="FFFB9403"/>
      <rgbColor rgb="FFB2B2B2"/>
      <rgbColor rgb="FFA34E00"/>
      <rgbColor rgb="FF9999FF"/>
      <rgbColor rgb="FFC9211E"/>
      <rgbColor rgb="FFFFFF66"/>
      <rgbColor rgb="FFCCFFFF"/>
      <rgbColor rgb="FF512000"/>
      <rgbColor rgb="FFE5792F"/>
      <rgbColor rgb="FF0066CC"/>
      <rgbColor rgb="FFFAE31F"/>
      <rgbColor rgb="FF030100"/>
      <rgbColor rgb="FFFF66FF"/>
      <rgbColor rgb="FFFFF200"/>
      <rgbColor rgb="FF00FFFF"/>
      <rgbColor rgb="FFFF3300"/>
      <rgbColor rgb="FF652800"/>
      <rgbColor rgb="FF008080"/>
      <rgbColor rgb="FF0000FF"/>
      <rgbColor rgb="FF00CCFF"/>
      <rgbColor rgb="FFFBFA3B"/>
      <rgbColor rgb="FF99FF66"/>
      <rgbColor rgb="FFFFFF99"/>
      <rgbColor rgb="FFE2A712"/>
      <rgbColor rgb="FFFF9999"/>
      <rgbColor rgb="FFCC99FF"/>
      <rgbColor rgb="FFFFCCCC"/>
      <rgbColor rgb="FF3399FF"/>
      <rgbColor rgb="FFFAC11A"/>
      <rgbColor rgb="FF66FF00"/>
      <rgbColor rgb="FFFFCC00"/>
      <rgbColor rgb="FFFF9900"/>
      <rgbColor rgb="FFFF6600"/>
      <rgbColor rgb="FFB85800"/>
      <rgbColor rgb="FFD1A268"/>
      <rgbColor rgb="FF28160B"/>
      <rgbColor rgb="FFCC9900"/>
      <rgbColor rgb="FF1D1008"/>
      <rgbColor rgb="FF3F1900"/>
      <rgbColor rgb="FF8C3800"/>
      <rgbColor rgb="FF793000"/>
      <rgbColor rgb="FFD97302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S51"/>
  <sheetViews>
    <sheetView showFormulas="false" showGridLines="false" showRowColHeaders="false" showZeros="true" rightToLeft="false" tabSelected="true" showOutlineSymbols="false" defaultGridColor="true" view="normal" topLeftCell="A1" colorId="64" zoomScale="68" zoomScaleNormal="68" zoomScalePageLayoutView="100" workbookViewId="0">
      <selection pane="topLeft" activeCell="E15" activeCellId="0" sqref="E15"/>
    </sheetView>
  </sheetViews>
  <sheetFormatPr defaultColWidth="16.21875" defaultRowHeight="15" zeroHeight="false" outlineLevelRow="0" outlineLevelCol="0"/>
  <cols>
    <col collapsed="false" customWidth="true" hidden="false" outlineLevel="0" max="1" min="1" style="1" width="2.57"/>
    <col collapsed="false" customWidth="true" hidden="false" outlineLevel="0" max="2" min="2" style="2" width="25.92"/>
    <col collapsed="false" customWidth="true" hidden="false" outlineLevel="0" max="3" min="3" style="2" width="27.46"/>
    <col collapsed="false" customWidth="true" hidden="false" outlineLevel="0" max="4" min="4" style="2" width="18.66"/>
    <col collapsed="false" customWidth="true" hidden="false" outlineLevel="0" max="5" min="5" style="2" width="18.53"/>
    <col collapsed="false" customWidth="true" hidden="false" outlineLevel="0" max="7" min="6" style="2" width="19.44"/>
    <col collapsed="false" customWidth="true" hidden="false" outlineLevel="0" max="8" min="8" style="2" width="20.98"/>
    <col collapsed="false" customWidth="true" hidden="false" outlineLevel="0" max="9" min="9" style="2" width="12.96"/>
    <col collapsed="false" customWidth="true" hidden="true" outlineLevel="0" max="11" min="10" style="3" width="20.05"/>
    <col collapsed="false" customWidth="true" hidden="false" outlineLevel="0" max="12" min="12" style="3" width="3.24"/>
    <col collapsed="false" customWidth="true" hidden="false" outlineLevel="0" max="18" min="13" style="2" width="17.62"/>
    <col collapsed="false" customWidth="false" hidden="false" outlineLevel="0" max="1022" min="19" style="2" width="16.2"/>
    <col collapsed="false" customWidth="true" hidden="false" outlineLevel="0" max="1023" min="1023" style="4" width="11.52"/>
    <col collapsed="false" customWidth="true" hidden="false" outlineLevel="0" max="16384" min="16384" style="4" width="11.53"/>
  </cols>
  <sheetData>
    <row r="1" customFormat="false" ht="10.95" hidden="false" customHeight="true" outlineLevel="0" collapsed="false">
      <c r="A1" s="4"/>
      <c r="B1" s="4"/>
      <c r="C1" s="4"/>
      <c r="D1" s="4"/>
      <c r="E1" s="4"/>
      <c r="F1" s="4"/>
      <c r="G1" s="4"/>
      <c r="H1" s="4"/>
      <c r="I1" s="4"/>
      <c r="J1" s="5"/>
      <c r="K1" s="5"/>
      <c r="L1" s="5"/>
      <c r="M1" s="4"/>
      <c r="N1" s="4"/>
      <c r="O1" s="4"/>
      <c r="P1" s="4"/>
      <c r="Q1" s="4"/>
      <c r="R1" s="4"/>
    </row>
    <row r="2" customFormat="false" ht="31.7" hidden="false" customHeight="true" outlineLevel="0" collapsed="false">
      <c r="A2" s="4"/>
      <c r="B2" s="6"/>
      <c r="C2" s="7"/>
      <c r="D2" s="8" t="s">
        <v>0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4"/>
      <c r="Q2" s="4"/>
      <c r="R2" s="4"/>
    </row>
    <row r="3" customFormat="false" ht="18.7" hidden="false" customHeight="true" outlineLevel="0" collapsed="false">
      <c r="A3" s="4"/>
      <c r="B3" s="4"/>
      <c r="C3" s="4"/>
      <c r="D3" s="9"/>
      <c r="E3" s="10" t="s">
        <v>1</v>
      </c>
      <c r="F3" s="10"/>
      <c r="G3" s="10"/>
      <c r="H3" s="10"/>
      <c r="I3" s="10"/>
      <c r="J3" s="5"/>
      <c r="K3" s="5"/>
      <c r="L3" s="5"/>
      <c r="M3" s="11" t="s">
        <v>2</v>
      </c>
      <c r="N3" s="11"/>
      <c r="O3" s="11"/>
      <c r="P3" s="11"/>
      <c r="Q3" s="11"/>
      <c r="R3" s="11"/>
    </row>
    <row r="4" customFormat="false" ht="44.65" hidden="false" customHeight="true" outlineLevel="0" collapsed="false">
      <c r="A4" s="4"/>
      <c r="B4" s="12" t="s">
        <v>3</v>
      </c>
      <c r="C4" s="13" t="s">
        <v>4</v>
      </c>
      <c r="D4" s="14" t="n">
        <f aca="false">'Mash_Acid mEq'!R20/'Mash_Acid mEq'!J20*50.04345/84.007*Q6*1000/(M14*3.7854)+'Mash_Acid mEq'!R21/'Mash_Acid mEq'!J21*50.04345/(74.093/2)*R6*1000/(M14*3.7854)+IF(R24&lt;&gt;"Mineral Free",Water!I23,0)</f>
        <v>0</v>
      </c>
      <c r="E4" s="13" t="s">
        <v>5</v>
      </c>
      <c r="F4" s="14" t="n">
        <f aca="false">(M6*61.4942/M14+'CaCl2 Selector'!I10)+R6*1000*40.078/74.0923/(M14*3.7854)+Water!B23</f>
        <v>50.221797752809</v>
      </c>
      <c r="G4" s="13" t="s">
        <v>6</v>
      </c>
      <c r="H4" s="14" t="n">
        <f aca="false">O6*26.0501/M14+IF(R24&lt;&gt;"Mineral Free",Water!C23,0)</f>
        <v>4.39046629213483</v>
      </c>
      <c r="I4" s="15"/>
      <c r="J4" s="9"/>
      <c r="K4" s="5"/>
      <c r="L4" s="16"/>
      <c r="M4" s="13" t="s">
        <v>7</v>
      </c>
      <c r="N4" s="13" t="str">
        <f aca="false">IF('CaCl2 Selector'!D10="Prills/Crystal","CaCl2 Prills/Crystal at " &amp; " " &amp; ('CaCl2 Selector'!E10)*100 &amp; " " &amp; "Percent","CaCl2 Solution " &amp; ROUND('CaCl2 Selector'!F10,4) &amp; " S.G.")</f>
        <v>CaCl2 Prills/Crystal at  75.5 Percent</v>
      </c>
      <c r="O4" s="13" t="s">
        <v>8</v>
      </c>
      <c r="P4" s="13" t="s">
        <v>9</v>
      </c>
      <c r="Q4" s="13" t="s">
        <v>10</v>
      </c>
      <c r="R4" s="13" t="s">
        <v>11</v>
      </c>
    </row>
    <row r="5" customFormat="false" ht="19.45" hidden="false" customHeight="true" outlineLevel="0" collapsed="false">
      <c r="A5" s="4"/>
      <c r="B5" s="17"/>
      <c r="C5" s="17"/>
      <c r="D5" s="18"/>
      <c r="E5" s="17"/>
      <c r="F5" s="19"/>
      <c r="G5" s="20"/>
      <c r="H5" s="20"/>
      <c r="I5" s="21" t="s">
        <v>12</v>
      </c>
      <c r="J5" s="5"/>
      <c r="K5" s="5"/>
      <c r="L5" s="5"/>
      <c r="M5" s="11" t="s">
        <v>13</v>
      </c>
      <c r="N5" s="11" t="str">
        <f aca="false">IF('CaCl2 Selector'!D10="Prills/Crystal","Grams","mL")</f>
        <v>Grams</v>
      </c>
      <c r="O5" s="11" t="s">
        <v>13</v>
      </c>
      <c r="P5" s="11" t="s">
        <v>13</v>
      </c>
      <c r="Q5" s="11" t="s">
        <v>13</v>
      </c>
      <c r="R5" s="11" t="s">
        <v>13</v>
      </c>
    </row>
    <row r="6" customFormat="false" ht="50.4" hidden="false" customHeight="true" outlineLevel="0" collapsed="false">
      <c r="A6" s="22"/>
      <c r="B6" s="13" t="s">
        <v>14</v>
      </c>
      <c r="C6" s="13" t="s">
        <v>15</v>
      </c>
      <c r="D6" s="13" t="s">
        <v>16</v>
      </c>
      <c r="E6" s="13" t="s">
        <v>17</v>
      </c>
      <c r="F6" s="13" t="s">
        <v>18</v>
      </c>
      <c r="G6" s="13" t="s">
        <v>19</v>
      </c>
      <c r="H6" s="13" t="s">
        <v>20</v>
      </c>
      <c r="I6" s="21"/>
      <c r="J6" s="23" t="s">
        <v>21</v>
      </c>
      <c r="K6" s="23" t="s">
        <v>22</v>
      </c>
      <c r="L6" s="24" t="s">
        <v>23</v>
      </c>
      <c r="M6" s="25" t="n">
        <v>2</v>
      </c>
      <c r="N6" s="25" t="n">
        <v>4.5</v>
      </c>
      <c r="O6" s="25" t="n">
        <v>1.5</v>
      </c>
      <c r="P6" s="25" t="n">
        <v>0</v>
      </c>
      <c r="Q6" s="25" t="n">
        <v>0</v>
      </c>
      <c r="R6" s="26" t="n">
        <v>0</v>
      </c>
    </row>
    <row r="7" customFormat="false" ht="19.45" hidden="false" customHeight="true" outlineLevel="0" collapsed="false">
      <c r="A7" s="27" t="n">
        <f aca="false">IF(ISNUMBER(H7),1,0)</f>
        <v>1</v>
      </c>
      <c r="B7" s="28" t="s">
        <v>24</v>
      </c>
      <c r="C7" s="29" t="s">
        <v>25</v>
      </c>
      <c r="D7" s="29" t="n">
        <v>1.9</v>
      </c>
      <c r="E7" s="29" t="n">
        <v>12</v>
      </c>
      <c r="F7" s="30" t="n">
        <f aca="false">IF(E7=0,0,IF(B7="M-Dextrin / Sugar","",IF(B7="Caramel/Crystal",IFERROR(5.65-0.55*LOG((D7+0.7)/1.35444),""),IF(B7="Carapils/Carafoam",IFERROR(5.65-0.55*LOG((D7+0.7)/1.35444),""),IF(B7="Wheat or Rye Malt",5.95,IF(B7="Flaked Barley",5.6,IF(B7="Flaked Wheat, Rye",6.45,IF(B7="Flaked Oats",6.2,IF(B7="Flaked Corn",6.24,IF(B7="Melanoidin/Honey",4.95,IF(B7="Acidulated Malt",3.622,5.85-0.5*LOG(D7))))))))))))</f>
        <v>5.71062319952359</v>
      </c>
      <c r="G7" s="31"/>
      <c r="H7" s="30" t="n">
        <f aca="false">IFERROR(IF(AND(B7="Acidulated Malt",E7=0),"",(IF(OR(ISBLANK(D7),ISBLANK(E7)),"",IF(E7=0,"",IF(B7="","",IF(B7="M-Dextrin / Sugar","",IF(D7&gt;0,IF(NOT(OR(G7=0,G7="")),G7+'pH Shift'!$H$17,F7+'pH Shift'!$H$17)))))))),0)</f>
        <v>5.63087024022608</v>
      </c>
      <c r="I7" s="32"/>
      <c r="J7" s="33" t="n">
        <f aca="false">IF(I7&gt;0,I7,IF(B7="M-Dextrin / Sugar",0.00001,IF(B7="Caramel/Crystal",IFERROR(28+LN(D7)*8+D7/8,0),IF(B7="Carapils/Carafoam",IFERROR(28+LN(D7)*8+D7/8,0),IF(B7="Wheat or Rye Malt",38.5,IF(B7="Flaked Barley",45,IF(B7="Flaked Wheat, Rye",29,IF(B7="Flaked Oats",48,IF(B7="Flaked Corn",9.6,IF(B7="Melanoidin/Honey",62.6,IF(B7="Acidulated Malt",181.72/$E$19*11.451/'Lactic Worksheet'!$N$9*$E$18/0.03/$E$18,IFERROR(34.5+LN(D7)*5.75,0))))))))))))*$E$19</f>
        <v>29.7887146794832</v>
      </c>
      <c r="K7" s="24" t="n">
        <f aca="false">IFERROR(IF(AND(B7="Acidulated Malt",J7&lt;&gt;0),$J7*E7*$E$18/2.20462,IF(J7&lt;&gt;0,$J7*E7/2.20462)),0)</f>
        <v>162.143397117779</v>
      </c>
      <c r="L7" s="24" t="n">
        <f aca="false">IFERROR(IF(H7&gt;$H$17,K7*(H7-$H$17),-K7*($H$17-H7)),0)</f>
        <v>37.4340850436544</v>
      </c>
      <c r="M7" s="11" t="s">
        <v>26</v>
      </c>
      <c r="N7" s="11"/>
      <c r="O7" s="11"/>
      <c r="P7" s="11"/>
      <c r="Q7" s="11"/>
      <c r="R7" s="11"/>
    </row>
    <row r="8" customFormat="false" ht="19.45" hidden="false" customHeight="true" outlineLevel="0" collapsed="false">
      <c r="A8" s="27" t="n">
        <f aca="false">IF(ISNUMBER(H8),1,0)</f>
        <v>0</v>
      </c>
      <c r="B8" s="28" t="s">
        <v>24</v>
      </c>
      <c r="C8" s="29"/>
      <c r="D8" s="29"/>
      <c r="E8" s="29"/>
      <c r="F8" s="30" t="n">
        <f aca="false">IF(E8=0,0,IF(B8="M-Dextrin / Sugar","",IF(B8="Caramel/Crystal",IFERROR(5.65-0.55*LOG((D8+0.7)/1.35444),""),IF(B8="Carapils/Carafoam",IFERROR(5.65-0.55*LOG((D8+0.7)/1.35444),""),IF(B8="Wheat or Rye Malt",5.95,IF(B8="Flaked Barley",5.6,IF(B8="Flaked Wheat, Rye",6.45,IF(B8="Flaked Oats",6.2,IF(B8="Flaked Corn",6.24,IF(B8="Melanoidin/Honey",4.95,IF(B8="Acidulated Malt",3.622,5.85-0.5*LOG(D8))))))))))))</f>
        <v>0</v>
      </c>
      <c r="G8" s="34"/>
      <c r="H8" s="30" t="str">
        <f aca="false">IFERROR(IF(AND(B8="Acidulated Malt",E8=0),"",(IF(OR(ISBLANK(D8),ISBLANK(E8)),"",IF(E8=0,"",IF(B8="","",IF(B8="M-Dextrin / Sugar","",IF(D8&gt;0,IF(NOT(OR(G8=0,G8="")),G8+'pH Shift'!$H$17,F8+'pH Shift'!$H$17)))))))),0)</f>
        <v/>
      </c>
      <c r="I8" s="32"/>
      <c r="J8" s="33" t="n">
        <f aca="false">IF(I8&gt;0,I8,IF(B8="M-Dextrin / Sugar",0.00001,IF(B8="Caramel/Crystal",IFERROR(28+LN(D8)*8+D8/8,0),IF(B8="Carapils/Carafoam",IFERROR(28+LN(D8)*8+D8/8,0),IF(B8="Wheat or Rye Malt",38.5,IF(B8="Flaked Barley",45,IF(B8="Flaked Wheat, Rye",29,IF(B8="Flaked Oats",48,IF(B8="Flaked Corn",9.6,IF(B8="Melanoidin/Honey",62.6,IF(B8="Acidulated Malt",181.72/$E$19*11.451/'Lactic Worksheet'!$N$9*$E$18/0.03/$E$18,IFERROR(34.5+LN(D8)*5.75,0))))))))))))*$E$19</f>
        <v>0</v>
      </c>
      <c r="K8" s="24" t="n">
        <f aca="false">IFERROR(IF(AND(B8="Acidulated Malt",J8&lt;&gt;0),$J8*E8*$E$18/2.20462,IF(J8&lt;&gt;0,$J8*E8/2.20462)),0)</f>
        <v>0</v>
      </c>
      <c r="L8" s="24" t="n">
        <f aca="false">IFERROR(IF(H8&gt;$H$17,K8*(H8-$H$17),-K8*($H$17-H8)),0)</f>
        <v>0</v>
      </c>
      <c r="M8" s="13" t="s">
        <v>7</v>
      </c>
      <c r="N8" s="13" t="str">
        <f aca="false">IF('CaCl2 Selector'!D10="Prills/Crystal","CaCl2 Prills/Crystal at " &amp; " " &amp; ('CaCl2 Selector'!E10)*100 &amp; " " &amp; "Percent","CaCl2 Solution " &amp; ROUND('CaCl2 Selector'!F10,4) &amp; " S.G.")</f>
        <v>CaCl2 Prills/Crystal at  75.5 Percent</v>
      </c>
      <c r="O8" s="13" t="s">
        <v>8</v>
      </c>
      <c r="P8" s="13" t="s">
        <v>9</v>
      </c>
      <c r="Q8" s="13" t="s">
        <v>10</v>
      </c>
      <c r="R8" s="13" t="s">
        <v>11</v>
      </c>
    </row>
    <row r="9" customFormat="false" ht="19.45" hidden="false" customHeight="true" outlineLevel="0" collapsed="false">
      <c r="A9" s="27" t="n">
        <f aca="false">IF(ISNUMBER(H9),1,0)</f>
        <v>0</v>
      </c>
      <c r="B9" s="28" t="s">
        <v>24</v>
      </c>
      <c r="C9" s="29"/>
      <c r="D9" s="29"/>
      <c r="E9" s="29"/>
      <c r="F9" s="30" t="n">
        <f aca="false">IF(E9=0,0,IF(B9="M-Dextrin / Sugar","",IF(B9="Caramel/Crystal",IFERROR(5.65-0.55*LOG((D9+0.7)/1.35444),""),IF(B9="Carapils/Carafoam",IFERROR(5.65-0.55*LOG((D9+0.7)/1.35444),""),IF(B9="Wheat or Rye Malt",5.95,IF(B9="Flaked Barley",5.6,IF(B9="Flaked Wheat, Rye",6.45,IF(B9="Flaked Oats",6.2,IF(B9="Flaked Corn",6.24,IF(B9="Melanoidin/Honey",4.95,IF(B9="Acidulated Malt",3.622,5.85-0.5*LOG(D9))))))))))))</f>
        <v>0</v>
      </c>
      <c r="G9" s="34"/>
      <c r="H9" s="30" t="str">
        <f aca="false">IFERROR(IF(AND(B9="Acidulated Malt",E9=0),"",(IF(OR(ISBLANK(D9),ISBLANK(E9)),"",IF(E9=0,"",IF(B9="","",IF(B9="M-Dextrin / Sugar","",IF(D9&gt;0,IF(NOT(OR(G9=0,G9="")),G9+'pH Shift'!$H$17,F9+'pH Shift'!$H$17)))))))),0)</f>
        <v/>
      </c>
      <c r="I9" s="32"/>
      <c r="J9" s="33" t="n">
        <f aca="false">IF(I9&gt;0,I9,IF(B9="M-Dextrin / Sugar",0.00001,IF(B9="Caramel/Crystal",IFERROR(28+LN(D9)*8+D9/8,0),IF(B9="Carapils/Carafoam",IFERROR(28+LN(D9)*8+D9/8,0),IF(B9="Wheat or Rye Malt",38.5,IF(B9="Flaked Barley",45,IF(B9="Flaked Wheat, Rye",29,IF(B9="Flaked Oats",48,IF(B9="Flaked Corn",9.6,IF(B9="Melanoidin/Honey",62.6,IF(B9="Acidulated Malt",181.72/$E$19*11.451/'Lactic Worksheet'!$N$9*$E$18/0.03/$E$18,IFERROR(34.5+LN(D9)*5.75,0))))))))))))*$E$19</f>
        <v>0</v>
      </c>
      <c r="K9" s="24" t="n">
        <f aca="false">IFERROR(IF(AND(B9="Acidulated Malt",J9&lt;&gt;0),$J9*E9*$E$18/2.20462,IF(J9&lt;&gt;0,$J9*E9/2.20462)),0)</f>
        <v>0</v>
      </c>
      <c r="L9" s="24" t="n">
        <f aca="false">IFERROR(IF(H9&gt;$H$17,K9*(H9-$H$17),-K9*($H$17-H9)),0)</f>
        <v>0</v>
      </c>
      <c r="M9" s="13"/>
      <c r="N9" s="13"/>
      <c r="O9" s="13"/>
      <c r="P9" s="13"/>
      <c r="Q9" s="13"/>
      <c r="R9" s="13"/>
    </row>
    <row r="10" customFormat="false" ht="19.45" hidden="false" customHeight="true" outlineLevel="0" collapsed="false">
      <c r="A10" s="27" t="n">
        <f aca="false">IF(ISNUMBER(H10),1,0)</f>
        <v>0</v>
      </c>
      <c r="B10" s="28" t="s">
        <v>24</v>
      </c>
      <c r="C10" s="29"/>
      <c r="D10" s="29"/>
      <c r="E10" s="29"/>
      <c r="F10" s="30" t="n">
        <f aca="false">IF(E10=0,0,IF(B10="M-Dextrin / Sugar","",IF(B10="Caramel/Crystal",IFERROR(5.65-0.55*LOG((D10+0.7)/1.35444),""),IF(B10="Carapils/Carafoam",IFERROR(5.65-0.55*LOG((D10+0.7)/1.35444),""),IF(B10="Wheat or Rye Malt",5.95,IF(B10="Flaked Barley",5.6,IF(B10="Flaked Wheat, Rye",6.45,IF(B10="Flaked Oats",6.2,IF(B10="Flaked Corn",6.24,IF(B10="Melanoidin/Honey",4.95,IF(B10="Acidulated Malt",3.622,5.85-0.5*LOG(D10))))))))))))</f>
        <v>0</v>
      </c>
      <c r="G10" s="34"/>
      <c r="H10" s="30" t="str">
        <f aca="false">IFERROR(IF(AND(B10="Acidulated Malt",E10=0),"",(IF(OR(ISBLANK(D10),ISBLANK(E10)),"",IF(E10=0,"",IF(B10="","",IF(B10="M-Dextrin / Sugar","",IF(D10&gt;0,IF(NOT(OR(G10=0,G10="")),G10+'pH Shift'!$H$17,F10+'pH Shift'!$H$17)))))))),0)</f>
        <v/>
      </c>
      <c r="I10" s="32"/>
      <c r="J10" s="33" t="n">
        <f aca="false">IF(I10&gt;0,I10,IF(B10="M-Dextrin / Sugar",0.00001,IF(B10="Caramel/Crystal",IFERROR(28+LN(D10)*8+D10/8,0),IF(B10="Carapils/Carafoam",IFERROR(28+LN(D10)*8+D10/8,0),IF(B10="Wheat or Rye Malt",38.5,IF(B10="Flaked Barley",45,IF(B10="Flaked Wheat, Rye",29,IF(B10="Flaked Oats",48,IF(B10="Flaked Corn",9.6,IF(B10="Melanoidin/Honey",62.6,IF(B10="Acidulated Malt",181.72/$E$19*11.451/'Lactic Worksheet'!$N$9*$E$18/0.03/$E$18,IFERROR(34.5+LN(D10)*5.75,0))))))))))))*$E$19</f>
        <v>0</v>
      </c>
      <c r="K10" s="24" t="n">
        <f aca="false">IFERROR(IF(AND(B10="Acidulated Malt",J10&lt;&gt;0),$J10*E10*$E$18/2.20462,IF(J10&lt;&gt;0,$J10*E10/2.20462)),0)</f>
        <v>0</v>
      </c>
      <c r="L10" s="24" t="n">
        <f aca="false">IFERROR(IF(H10&gt;$H$17,K10*(H10-$H$17),-K10*($H$17-H10)),0)</f>
        <v>0</v>
      </c>
      <c r="M10" s="35" t="n">
        <v>0</v>
      </c>
      <c r="N10" s="35" t="n">
        <v>0</v>
      </c>
      <c r="O10" s="35" t="n">
        <v>0</v>
      </c>
      <c r="P10" s="35" t="n">
        <v>0</v>
      </c>
      <c r="Q10" s="36" t="s">
        <v>27</v>
      </c>
      <c r="R10" s="36" t="s">
        <v>27</v>
      </c>
    </row>
    <row r="11" customFormat="false" ht="19.45" hidden="false" customHeight="true" outlineLevel="0" collapsed="false">
      <c r="A11" s="27" t="n">
        <f aca="false">IF(ISNUMBER(H11),1,0)</f>
        <v>0</v>
      </c>
      <c r="B11" s="28" t="s">
        <v>24</v>
      </c>
      <c r="C11" s="29"/>
      <c r="D11" s="29"/>
      <c r="E11" s="29"/>
      <c r="F11" s="30" t="n">
        <f aca="false">IF(E11=0,0,IF(B11="M-Dextrin / Sugar","",IF(B11="Caramel/Crystal",IFERROR(5.65-0.55*LOG((D11+0.7)/1.35444),""),IF(B11="Carapils/Carafoam",IFERROR(5.65-0.55*LOG((D11+0.7)/1.35444),""),IF(B11="Wheat or Rye Malt",5.95,IF(B11="Flaked Barley",5.6,IF(B11="Flaked Wheat, Rye",6.45,IF(B11="Flaked Oats",6.2,IF(B11="Flaked Corn",6.24,IF(B11="Melanoidin/Honey",4.95,IF(B11="Acidulated Malt",3.622,5.85-0.5*LOG(D11))))))))))))</f>
        <v>0</v>
      </c>
      <c r="G11" s="34"/>
      <c r="H11" s="30" t="str">
        <f aca="false">IFERROR(IF(AND(B11="Acidulated Malt",E11=0),"",(IF(OR(ISBLANK(D11),ISBLANK(E11)),"",IF(E11=0,"",IF(B11="","",IF(B11="M-Dextrin / Sugar","",IF(D11&gt;0,IF(NOT(OR(G11=0,G11="")),G11+'pH Shift'!$H$17,F11+'pH Shift'!$H$17)))))))),0)</f>
        <v/>
      </c>
      <c r="I11" s="32"/>
      <c r="J11" s="33" t="n">
        <f aca="false">IF(I11&gt;0,I11,IF(B11="M-Dextrin / Sugar",0.00001,IF(B11="Caramel/Crystal",IFERROR(28+LN(D11)*8+D11/8,0),IF(B11="Carapils/Carafoam",IFERROR(28+LN(D11)*8+D11/8,0),IF(B11="Wheat or Rye Malt",38.5,IF(B11="Flaked Barley",45,IF(B11="Flaked Wheat, Rye",29,IF(B11="Flaked Oats",48,IF(B11="Flaked Corn",9.6,IF(B11="Melanoidin/Honey",62.6,IF(B11="Acidulated Malt",181.72/$E$19*11.451/'Lactic Worksheet'!$N$9*$E$18/0.03/$E$18,IFERROR(34.5+LN(D11)*5.75,0))))))))))))*$E$19</f>
        <v>0</v>
      </c>
      <c r="K11" s="24" t="n">
        <f aca="false">IFERROR(IF(AND(B11="Acidulated Malt",J11&lt;&gt;0),$J11*E11*$E$18/2.20462,IF(J11&lt;&gt;0,$J11*E11/2.20462)),0)</f>
        <v>0</v>
      </c>
      <c r="L11" s="24" t="n">
        <f aca="false">IFERROR(IF(H11&gt;$H$17,K11*(H11-$H$17),-K11*($H$17-H11)),0)</f>
        <v>0</v>
      </c>
      <c r="M11" s="4"/>
      <c r="N11" s="4"/>
      <c r="O11" s="4"/>
      <c r="P11" s="4"/>
      <c r="Q11" s="4"/>
      <c r="R11" s="4"/>
    </row>
    <row r="12" customFormat="false" ht="19.45" hidden="false" customHeight="true" outlineLevel="0" collapsed="false">
      <c r="A12" s="27" t="n">
        <f aca="false">IF(ISNUMBER(H12),1,0)</f>
        <v>0</v>
      </c>
      <c r="B12" s="28" t="s">
        <v>24</v>
      </c>
      <c r="C12" s="29"/>
      <c r="D12" s="29"/>
      <c r="E12" s="29"/>
      <c r="F12" s="30" t="n">
        <f aca="false">IF(E12=0,0,IF(B12="M-Dextrin / Sugar","",IF(B12="Caramel/Crystal",IFERROR(5.65-0.55*LOG((D12+0.7)/1.35444),""),IF(B12="Carapils/Carafoam",IFERROR(5.65-0.55*LOG((D12+0.7)/1.35444),""),IF(B12="Wheat or Rye Malt",5.95,IF(B12="Flaked Barley",5.6,IF(B12="Flaked Wheat, Rye",6.45,IF(B12="Flaked Oats",6.2,IF(B12="Flaked Corn",6.24,IF(B12="Melanoidin/Honey",4.95,IF(B12="Acidulated Malt",3.622,5.85-0.5*LOG(D12))))))))))))</f>
        <v>0</v>
      </c>
      <c r="G12" s="34"/>
      <c r="H12" s="30" t="str">
        <f aca="false">IFERROR(IF(AND(B12="Acidulated Malt",E12=0),"",(IF(OR(ISBLANK(D12),ISBLANK(E12)),"",IF(E12=0,"",IF(B12="","",IF(B12="M-Dextrin / Sugar","",IF(D12&gt;0,IF(NOT(OR(G12=0,G12="")),G12+'pH Shift'!$H$17,F12+'pH Shift'!$H$17)))))))),0)</f>
        <v/>
      </c>
      <c r="I12" s="32"/>
      <c r="J12" s="33" t="n">
        <f aca="false">IF(I12&gt;0,I12,IF(B12="M-Dextrin / Sugar",0.00001,IF(B12="Caramel/Crystal",IFERROR(28+LN(D12)*8+D12/8,0),IF(B12="Carapils/Carafoam",IFERROR(28+LN(D12)*8+D12/8,0),IF(B12="Wheat or Rye Malt",38.5,IF(B12="Flaked Barley",45,IF(B12="Flaked Wheat, Rye",29,IF(B12="Flaked Oats",48,IF(B12="Flaked Corn",9.6,IF(B12="Melanoidin/Honey",62.6,IF(B12="Acidulated Malt",181.72/$E$19*11.451/'Lactic Worksheet'!$N$9*$E$18/0.03/$E$18,IFERROR(34.5+LN(D12)*5.75,0))))))))))))*$E$19</f>
        <v>0</v>
      </c>
      <c r="K12" s="24" t="n">
        <f aca="false">IFERROR(IF(AND(B12="Acidulated Malt",J12&lt;&gt;0),$J12*E12*$E$18/2.20462,IF(J12&lt;&gt;0,$J12*E12/2.20462)),0)</f>
        <v>0</v>
      </c>
      <c r="L12" s="24" t="n">
        <f aca="false">IFERROR(IF(H12&gt;$H$17,K12*(H12-$H$17),-K12*($H$17-H12)),0)</f>
        <v>0</v>
      </c>
      <c r="M12" s="13" t="s">
        <v>28</v>
      </c>
      <c r="N12" s="13" t="s">
        <v>29</v>
      </c>
      <c r="O12" s="13" t="s">
        <v>30</v>
      </c>
      <c r="P12" s="13" t="s">
        <v>31</v>
      </c>
      <c r="Q12" s="13" t="s">
        <v>32</v>
      </c>
      <c r="R12" s="37" t="s">
        <v>33</v>
      </c>
    </row>
    <row r="13" customFormat="false" ht="19.45" hidden="false" customHeight="true" outlineLevel="0" collapsed="false">
      <c r="A13" s="27" t="n">
        <f aca="false">IF(ISNUMBER(H13),1,0)</f>
        <v>0</v>
      </c>
      <c r="B13" s="28" t="s">
        <v>24</v>
      </c>
      <c r="C13" s="29"/>
      <c r="D13" s="29"/>
      <c r="E13" s="29"/>
      <c r="F13" s="30" t="n">
        <f aca="false">IF(E13=0,0,IF(B13="M-Dextrin / Sugar","",IF(B13="Caramel/Crystal",IFERROR(5.65-0.55*LOG((D13+0.7)/1.35444),""),IF(B13="Carapils/Carafoam",IFERROR(5.65-0.55*LOG((D13+0.7)/1.35444),""),IF(B13="Wheat or Rye Malt",5.95,IF(B13="Flaked Barley",5.6,IF(B13="Flaked Wheat, Rye",6.45,IF(B13="Flaked Oats",6.2,IF(B13="Flaked Corn",6.24,IF(B13="Melanoidin/Honey",4.95,IF(B13="Acidulated Malt",3.622,5.85-0.5*LOG(D13))))))))))))</f>
        <v>0</v>
      </c>
      <c r="G13" s="34"/>
      <c r="H13" s="30" t="str">
        <f aca="false">IFERROR(IF(AND(B13="Acidulated Malt",E13=0),"",(IF(OR(ISBLANK(D13),ISBLANK(E13)),"",IF(E13=0,"",IF(B13="","",IF(B13="M-Dextrin / Sugar","",IF(D13&gt;0,IF(NOT(OR(G13=0,G13="")),G13+'pH Shift'!$H$17,F13+'pH Shift'!$H$17)))))))),0)</f>
        <v/>
      </c>
      <c r="I13" s="32"/>
      <c r="J13" s="33" t="n">
        <f aca="false">IF(I13&gt;0,I13,IF(B13="M-Dextrin / Sugar",0.00001,IF(B13="Caramel/Crystal",IFERROR(28+LN(D13)*8+D13/8,0),IF(B13="Carapils/Carafoam",IFERROR(28+LN(D13)*8+D13/8,0),IF(B13="Wheat or Rye Malt",38.5,IF(B13="Flaked Barley",45,IF(B13="Flaked Wheat, Rye",29,IF(B13="Flaked Oats",48,IF(B13="Flaked Corn",9.6,IF(B13="Melanoidin/Honey",62.6,IF(B13="Acidulated Malt",181.72/$E$19*11.451/'Lactic Worksheet'!$N$9*$E$18/0.03/$E$18,IFERROR(34.5+LN(D13)*5.75,0))))))))))))*$E$19</f>
        <v>0</v>
      </c>
      <c r="K13" s="24" t="n">
        <f aca="false">IFERROR(IF(AND(B13="Acidulated Malt",J13&lt;&gt;0),$J13*E13*$E$18/2.20462,IF(J13&lt;&gt;0,$J13*E13/2.20462)),0)</f>
        <v>0</v>
      </c>
      <c r="L13" s="24" t="n">
        <f aca="false">IFERROR(IF(H13&gt;$H$17,K13*(H13-$H$17),-K13*($H$17-H13)),0)</f>
        <v>0</v>
      </c>
      <c r="M13" s="13"/>
      <c r="N13" s="13"/>
      <c r="O13" s="13"/>
      <c r="P13" s="13"/>
      <c r="Q13" s="13"/>
      <c r="R13" s="37"/>
    </row>
    <row r="14" customFormat="false" ht="19.45" hidden="false" customHeight="true" outlineLevel="0" collapsed="false">
      <c r="A14" s="27" t="n">
        <f aca="false">IF(ISNUMBER(H14),1,0)</f>
        <v>0</v>
      </c>
      <c r="B14" s="28" t="s">
        <v>24</v>
      </c>
      <c r="C14" s="38"/>
      <c r="D14" s="38"/>
      <c r="E14" s="38"/>
      <c r="F14" s="30" t="n">
        <f aca="false">IF(E14=0,0,IF(B14="M-Dextrin / Sugar","",IF(B14="Caramel/Crystal",IFERROR(5.65-0.55*LOG((D14+0.7)/1.35444),""),IF(B14="Carapils/Carafoam",IFERROR(5.65-0.55*LOG((D14+0.7)/1.35444),""),IF(B14="Wheat or Rye Malt",5.95,IF(B14="Flaked Barley",5.6,IF(B14="Flaked Wheat, Rye",6.45,IF(B14="Flaked Oats",6.2,IF(B14="Flaked Corn",6.24,IF(B14="Melanoidin/Honey",4.95,IF(B14="Acidulated Malt",3.622,5.85-0.5*LOG(D14))))))))))))</f>
        <v>0</v>
      </c>
      <c r="G14" s="34"/>
      <c r="H14" s="30" t="str">
        <f aca="false">IFERROR(IF(AND(B14="Acidulated Malt",E14=0),"",(IF(OR(ISBLANK(D14),ISBLANK(E14)),"",IF(E14=0,"",IF(B14="","",IF(B14="M-Dextrin / Sugar","",IF(D14&gt;0,IF(NOT(OR(G14=0,G14="")),G14+'pH Shift'!$H$17,F14+'pH Shift'!$H$17)))))))),0)</f>
        <v/>
      </c>
      <c r="I14" s="32"/>
      <c r="J14" s="33" t="n">
        <f aca="false">IF(I14&gt;0,I14,IF(B14="M-Dextrin / Sugar",0.00001,IF(B14="Caramel/Crystal",IFERROR(28+LN(D14)*8+D14/8,0),IF(B14="Carapils/Carafoam",IFERROR(28+LN(D14)*8+D14/8,0),IF(B14="Wheat or Rye Malt",38.5,IF(B14="Flaked Barley",45,IF(B14="Flaked Wheat, Rye",29,IF(B14="Flaked Oats",48,IF(B14="Flaked Corn",9.6,IF(B14="Melanoidin/Honey",62.6,IF(B14="Acidulated Malt",181.72/$E$19*11.451/'Lactic Worksheet'!$N$9*$E$18/0.03/$E$18,IFERROR(34.5+LN(D14)*5.75,0))))))))))))*$E$19</f>
        <v>0</v>
      </c>
      <c r="K14" s="24" t="n">
        <f aca="false">IFERROR(IF(AND(B14="Acidulated Malt",J14&lt;&gt;0),$J14*E14*$E$18/2.20462,IF(J14&lt;&gt;0,$J14*E14/2.20462)),0)</f>
        <v>0</v>
      </c>
      <c r="L14" s="24" t="n">
        <f aca="false">IFERROR(IF(H14&gt;$H$17,K14*(H14-$H$17),-K14*($H$17-H14)),0)</f>
        <v>0</v>
      </c>
      <c r="M14" s="39" t="n">
        <v>8.9</v>
      </c>
      <c r="N14" s="39" t="n">
        <v>0</v>
      </c>
      <c r="O14" s="40" t="n">
        <f aca="false">M14+N14</f>
        <v>8.9</v>
      </c>
      <c r="P14" s="41" t="n">
        <f aca="false">IFERROR(M14*4/(E16-E17),"")</f>
        <v>2.96666666666667</v>
      </c>
      <c r="Q14" s="41" t="n">
        <f aca="false">L16</f>
        <v>37.4340850436544</v>
      </c>
      <c r="R14" s="42" t="n">
        <f aca="false">K16</f>
        <v>29.7887146794832</v>
      </c>
    </row>
    <row r="15" customFormat="false" ht="19.45" hidden="false" customHeight="true" outlineLevel="0" collapsed="false">
      <c r="A15" s="27" t="n">
        <f aca="false">IF(ISNUMBER(H15),1,0)</f>
        <v>0</v>
      </c>
      <c r="B15" s="28" t="s">
        <v>24</v>
      </c>
      <c r="C15" s="38"/>
      <c r="D15" s="38"/>
      <c r="E15" s="38"/>
      <c r="F15" s="30" t="n">
        <f aca="false">IF(E15=0,0,IF(B15="M-Dextrin / Sugar","",IF(B15="Caramel/Crystal",IFERROR(5.65-0.55*LOG((D15+0.7)/1.35444),""),IF(B15="Carapils/Carafoam",IFERROR(5.65-0.55*LOG((D15+0.7)/1.35444),""),IF(B15="Wheat or Rye Malt",5.95,IF(B15="Flaked Barley",5.6,IF(B15="Flaked Wheat, Rye",6.45,IF(B15="Flaked Oats",6.2,IF(B15="Flaked Corn",6.24,IF(B15="Melanoidin/Honey",4.95,IF(B15="Acidulated Malt",3.622,5.85-0.5*LOG(D15))))))))))))</f>
        <v>0</v>
      </c>
      <c r="G15" s="34"/>
      <c r="H15" s="30" t="str">
        <f aca="false">IFERROR(IF(AND(B15="Acidulated Malt",E15=0),"",(IF(OR(ISBLANK(D15),ISBLANK(E15)),"",IF(E15=0,"",IF(B15="","",IF(B15="M-Dextrin / Sugar","",IF(D15&gt;0,IF(NOT(OR(G15=0,G15="")),G15+'pH Shift'!$H$17,F15+'pH Shift'!$H$17)))))))),0)</f>
        <v/>
      </c>
      <c r="I15" s="32"/>
      <c r="J15" s="33" t="n">
        <f aca="false">IF(I15&gt;0,I15,IF(B15="M-Dextrin / Sugar",0.00001,IF(B15="Caramel/Crystal",IFERROR(28+LN(D15)*8+D15/8,0),IF(B15="Carapils/Carafoam",IFERROR(28+LN(D15)*8+D15/8,0),IF(B15="Wheat or Rye Malt",38.5,IF(B15="Flaked Barley",45,IF(B15="Flaked Wheat, Rye",29,IF(B15="Flaked Oats",48,IF(B15="Flaked Corn",9.6,IF(B15="Melanoidin/Honey",62.6,IF(B15="Acidulated Malt",181.72/$E$19*11.451/'Lactic Worksheet'!$N$9*$E$18/0.03/$E$18,IFERROR(34.5+LN(D15)*5.75,0))))))))))))*$E$19</f>
        <v>0</v>
      </c>
      <c r="K15" s="24" t="n">
        <f aca="false">IFERROR(IF(AND(B15="Acidulated Malt",J15&lt;&gt;0),$J15*E15*$E$18/2.20462,IF(J15&lt;&gt;0,$J15*E15/2.20462)),0)</f>
        <v>0</v>
      </c>
      <c r="L15" s="24" t="n">
        <f aca="false">IFERROR(IF(H15&gt;$H$17,K15*(H15-$H$17),-K15*($H$17-H15)),0)</f>
        <v>0</v>
      </c>
      <c r="M15" s="43" t="s">
        <v>34</v>
      </c>
      <c r="N15" s="43"/>
      <c r="O15" s="43"/>
      <c r="P15" s="43"/>
      <c r="Q15" s="43"/>
      <c r="R15" s="43"/>
    </row>
    <row r="16" customFormat="false" ht="19.5" hidden="false" customHeight="true" outlineLevel="0" collapsed="false">
      <c r="A16" s="22"/>
      <c r="B16" s="44" t="s">
        <v>35</v>
      </c>
      <c r="C16" s="44"/>
      <c r="D16" s="44"/>
      <c r="E16" s="45" t="n">
        <f aca="false">SUM(E7:E15)</f>
        <v>12</v>
      </c>
      <c r="F16" s="46" t="s">
        <v>36</v>
      </c>
      <c r="G16" s="46"/>
      <c r="H16" s="47" t="n">
        <f aca="false">K17</f>
        <v>5.63087024022608</v>
      </c>
      <c r="I16" s="48"/>
      <c r="J16" s="49" t="s">
        <v>37</v>
      </c>
      <c r="K16" s="24" t="n">
        <f aca="false">SUM(K7:K15)/(E16/2.20462-E17/2.20462)</f>
        <v>29.7887146794832</v>
      </c>
      <c r="L16" s="24" t="n">
        <f aca="false">SUM(L7:L15)</f>
        <v>37.4340850436544</v>
      </c>
      <c r="M16" s="13" t="s">
        <v>38</v>
      </c>
      <c r="N16" s="13" t="s">
        <v>39</v>
      </c>
      <c r="O16" s="13" t="s">
        <v>40</v>
      </c>
      <c r="P16" s="13" t="s">
        <v>41</v>
      </c>
      <c r="Q16" s="13" t="s">
        <v>42</v>
      </c>
      <c r="R16" s="50" t="s">
        <v>43</v>
      </c>
    </row>
    <row r="17" customFormat="false" ht="19.5" hidden="false" customHeight="true" outlineLevel="0" collapsed="false">
      <c r="B17" s="51" t="s">
        <v>24</v>
      </c>
      <c r="C17" s="52" t="s">
        <v>44</v>
      </c>
      <c r="D17" s="52"/>
      <c r="E17" s="53" t="n">
        <f aca="false">SUMIF(B7:B15,"M-Dextrin / Sugar",E7:E15)</f>
        <v>0</v>
      </c>
      <c r="F17" s="46" t="s">
        <v>45</v>
      </c>
      <c r="G17" s="46"/>
      <c r="H17" s="54" t="n">
        <v>5.4</v>
      </c>
      <c r="I17" s="48"/>
      <c r="J17" s="55" t="s">
        <v>46</v>
      </c>
      <c r="K17" s="56" t="n">
        <f aca="false">$H$17+$L$17</f>
        <v>5.63087024022608</v>
      </c>
      <c r="L17" s="57" t="n">
        <f aca="false">L16/(K16*(E16/2.20462-E17/2.20462))</f>
        <v>0.23087024022608</v>
      </c>
      <c r="M17" s="13"/>
      <c r="N17" s="13"/>
      <c r="O17" s="13" t="s">
        <v>40</v>
      </c>
      <c r="P17" s="13"/>
      <c r="Q17" s="13"/>
      <c r="R17" s="50"/>
    </row>
    <row r="18" customFormat="false" ht="19.5" hidden="false" customHeight="true" outlineLevel="0" collapsed="false">
      <c r="B18" s="58" t="s">
        <v>47</v>
      </c>
      <c r="C18" s="44" t="s">
        <v>48</v>
      </c>
      <c r="D18" s="44"/>
      <c r="E18" s="59" t="n">
        <v>0.03</v>
      </c>
      <c r="F18" s="60" t="str">
        <f aca="false">'Lactic Acid %'!I13 &amp;"%  Lactic (mL) ="</f>
        <v>88%  Lactic (mL) =</v>
      </c>
      <c r="G18" s="30" t="n">
        <f aca="false">IF(AND($L$18&gt;0,ROUND(H16,2)&lt;&gt;ROUND(H17,2)),'Lactic Worksheet'!D9,"")</f>
        <v>3.26895628520051</v>
      </c>
      <c r="H18" s="61" t="s">
        <v>49</v>
      </c>
      <c r="I18" s="61"/>
      <c r="J18" s="62"/>
      <c r="K18" s="51" t="s">
        <v>50</v>
      </c>
      <c r="L18" s="24" t="n">
        <f aca="false">L16/'Lactic Worksheet'!N9</f>
        <v>3.26891743433032</v>
      </c>
      <c r="M18" s="63" t="n">
        <f aca="false">IF(R24="CRS/AMS = No",'Minerals Worksheet'!Q21,'Minerals Worksheet'!Q21+'Sparge H2O Adj.'!N11+64.279*G22/(O14*3.7854))</f>
        <v>64.4242348314607</v>
      </c>
      <c r="N18" s="63" t="n">
        <f aca="false">IF(R24="CRS/AMS = No",'Minerals Worksheet'!Q22,'Minerals Worksheet'!Q22+'Sparge H2O Adj.'!O11+88.484*G22/(O14*3.7854))</f>
        <v>50.4753202247191</v>
      </c>
      <c r="O18" s="64" t="n">
        <f aca="false">'Minerals Worksheet'!Q20</f>
        <v>0</v>
      </c>
      <c r="P18" s="65" t="n">
        <f aca="false">'Minerals Worksheet'!Q18</f>
        <v>50.221797752809</v>
      </c>
      <c r="Q18" s="64" t="n">
        <f aca="false">'Minerals Worksheet'!Q19</f>
        <v>4.39046629213483</v>
      </c>
      <c r="R18" s="63" t="n">
        <f aca="false">2.4973*P18+4.11796*Q18</f>
        <v>143.498660100449</v>
      </c>
    </row>
    <row r="19" customFormat="false" ht="19.5" hidden="false" customHeight="true" outlineLevel="0" collapsed="false">
      <c r="B19" s="66" t="s">
        <v>51</v>
      </c>
      <c r="C19" s="44" t="s">
        <v>52</v>
      </c>
      <c r="D19" s="44"/>
      <c r="E19" s="67" t="n">
        <v>0.78</v>
      </c>
      <c r="F19" s="60" t="str">
        <f aca="false">'Phosphoric Acid %'!I13 &amp;"%  Phos  (mL) ="</f>
        <v>10%  Phos  (mL) =</v>
      </c>
      <c r="G19" s="30" t="n">
        <f aca="false">IF(AND($L$19&gt;0,ROUND(H16,2)&lt;&gt;ROUND(H17,2)),'Phosphoric Worksheet'!D9,"")</f>
        <v>34.3324856777016</v>
      </c>
      <c r="H19" s="61"/>
      <c r="I19" s="61"/>
      <c r="J19" s="62"/>
      <c r="K19" s="51" t="s">
        <v>53</v>
      </c>
      <c r="L19" s="24" t="n">
        <f aca="false">L16/'Phosphoric Worksheet'!O9</f>
        <v>34.3324856777016</v>
      </c>
      <c r="M19" s="4"/>
      <c r="N19" s="4"/>
      <c r="O19" s="4"/>
      <c r="P19" s="4"/>
      <c r="Q19" s="4"/>
      <c r="R19" s="4"/>
    </row>
    <row r="20" customFormat="false" ht="19.5" hidden="false" customHeight="true" outlineLevel="0" collapsed="false">
      <c r="B20" s="58" t="s">
        <v>54</v>
      </c>
      <c r="C20" s="44" t="s">
        <v>55</v>
      </c>
      <c r="D20" s="44"/>
      <c r="E20" s="68" t="n">
        <f aca="false">E21</f>
        <v>0.5</v>
      </c>
      <c r="F20" s="60" t="s">
        <v>56</v>
      </c>
      <c r="G20" s="30" t="str">
        <f aca="false">IF(AND($L$20&gt;0,ROUND(H16,2)&lt;&gt;ROUND(H17,2)),ROUND(($L$20*0.03/E18)/28.35,2)&amp;", "&amp;ROUND(($L$20*0.03/E18),2),"")</f>
        <v>4.09, 115.86</v>
      </c>
      <c r="H20" s="61"/>
      <c r="I20" s="61"/>
      <c r="J20" s="62"/>
      <c r="K20" s="24" t="s">
        <v>57</v>
      </c>
      <c r="L20" s="24" t="n">
        <f aca="false">L16/0.323069*11.451/'Lactic Worksheet'!N9</f>
        <v>115.864950027754</v>
      </c>
      <c r="M20" s="13" t="s">
        <v>58</v>
      </c>
      <c r="N20" s="13" t="s">
        <v>59</v>
      </c>
      <c r="O20" s="13" t="s">
        <v>60</v>
      </c>
      <c r="P20" s="13" t="s">
        <v>61</v>
      </c>
      <c r="Q20" s="13" t="s">
        <v>62</v>
      </c>
      <c r="R20" s="13" t="s">
        <v>63</v>
      </c>
    </row>
    <row r="21" customFormat="false" ht="19.5" hidden="false" customHeight="true" outlineLevel="0" collapsed="false">
      <c r="B21" s="51" t="s">
        <v>64</v>
      </c>
      <c r="C21" s="44" t="s">
        <v>65</v>
      </c>
      <c r="D21" s="44"/>
      <c r="E21" s="69" t="n">
        <v>0.5</v>
      </c>
      <c r="F21" s="44" t="s">
        <v>66</v>
      </c>
      <c r="G21" s="30" t="n">
        <f aca="false">IF(AND($L$18&gt;0,ROUND(H16,2)&lt;&gt;ROUND(H17,2)),L21,"")</f>
        <v>2.96277970221747</v>
      </c>
      <c r="H21" s="61"/>
      <c r="I21" s="61"/>
      <c r="J21" s="62"/>
      <c r="K21" s="24"/>
      <c r="L21" s="24" t="n">
        <f aca="false">L16/'Mash_Acid mEq'!R17</f>
        <v>2.96277970221747</v>
      </c>
      <c r="M21" s="13"/>
      <c r="N21" s="13"/>
      <c r="O21" s="13"/>
      <c r="P21" s="13"/>
      <c r="Q21" s="13"/>
      <c r="R21" s="13"/>
    </row>
    <row r="22" customFormat="false" ht="19.5" hidden="false" customHeight="true" outlineLevel="0" collapsed="false">
      <c r="B22" s="58" t="s">
        <v>67</v>
      </c>
      <c r="C22" s="70" t="s">
        <v>68</v>
      </c>
      <c r="D22" s="70"/>
      <c r="E22" s="71" t="str">
        <f aca="false">"Ca="&amp;ROUND(3.5/E21,1)&amp;" &amp; Mg= "&amp;ROUND(7/E21,1)</f>
        <v>Ca=7 &amp; Mg= 14</v>
      </c>
      <c r="F22" s="44" t="s">
        <v>69</v>
      </c>
      <c r="G22" s="30" t="n">
        <f aca="false">IF(AND($L$18&gt;0,ROUND(H16,2)&lt;&gt;ROUND(H17,2)),L22,"")</f>
        <v>10.2410431547765</v>
      </c>
      <c r="H22" s="61"/>
      <c r="I22" s="61"/>
      <c r="J22" s="62"/>
      <c r="K22" s="24"/>
      <c r="L22" s="24" t="n">
        <f aca="false">L16/3.6553</f>
        <v>10.2410431547765</v>
      </c>
      <c r="M22" s="72" t="n">
        <v>6.5</v>
      </c>
      <c r="N22" s="73" t="n">
        <f aca="false">'SRM Color'!I11</f>
        <v>3.52904564734762</v>
      </c>
      <c r="O22" s="74" t="n">
        <f aca="false">-1*('pH Shift'!F13/'pH Shift'!E20+'pH Shift'!G13/'pH Shift'!F20)*'pH Shift'!B17</f>
        <v>-12.931415750694</v>
      </c>
      <c r="P22" s="74" t="n">
        <f aca="false">'pH Shift'!C17*'pH Shift'!B17</f>
        <v>0</v>
      </c>
      <c r="Q22" s="75" t="n">
        <f aca="false">IF('pH Shift'!H13&gt;=0,"-0.000",'pH Shift'!H13)</f>
        <v>-0.159505918595017</v>
      </c>
      <c r="R22" s="75" t="str">
        <f aca="false">IF('pH Shift'!C17=0,"+0.000","+"&amp;ROUND(('pH Shift'!H17-'pH Shift'!H13),3))</f>
        <v>+0.000</v>
      </c>
    </row>
    <row r="23" customFormat="false" ht="19.5" hidden="false" customHeight="true" outlineLevel="0" collapsed="false">
      <c r="B23" s="51" t="s">
        <v>70</v>
      </c>
      <c r="C23" s="4"/>
      <c r="D23" s="4"/>
      <c r="E23" s="4"/>
      <c r="F23" s="60" t="s">
        <v>71</v>
      </c>
      <c r="G23" s="30" t="str">
        <f aca="false">IF($L$23&gt;0.03,$L$23,"")</f>
        <v/>
      </c>
      <c r="H23" s="76" t="s">
        <v>72</v>
      </c>
      <c r="I23" s="76"/>
      <c r="J23" s="77"/>
      <c r="K23" s="24" t="s">
        <v>73</v>
      </c>
      <c r="L23" s="78" t="n">
        <f aca="false">L16/'Mash_Acid mEq'!R20</f>
        <v>-3.48171726772182</v>
      </c>
      <c r="M23" s="79"/>
      <c r="N23" s="80"/>
      <c r="O23" s="81"/>
      <c r="P23" s="81"/>
      <c r="Q23" s="82"/>
      <c r="R23" s="83"/>
    </row>
    <row r="24" customFormat="false" ht="19.5" hidden="false" customHeight="true" outlineLevel="0" collapsed="false">
      <c r="B24" s="84" t="s">
        <v>74</v>
      </c>
      <c r="C24" s="85" t="s">
        <v>75</v>
      </c>
      <c r="D24" s="85"/>
      <c r="E24" s="4"/>
      <c r="F24" s="44" t="s">
        <v>76</v>
      </c>
      <c r="G24" s="86" t="str">
        <f aca="false">IF($L$24&gt;0.015,$L$24,"")</f>
        <v/>
      </c>
      <c r="H24" s="76"/>
      <c r="I24" s="76"/>
      <c r="J24" s="87"/>
      <c r="K24" s="24"/>
      <c r="L24" s="88" t="n">
        <f aca="false">1.3992*E21^0.263*L16/'Mash_Acid mEq'!R21</f>
        <v>-1.617050093282</v>
      </c>
      <c r="M24" s="89" t="s">
        <v>77</v>
      </c>
      <c r="N24" s="89"/>
      <c r="O24" s="89"/>
      <c r="P24" s="89"/>
      <c r="Q24" s="89"/>
      <c r="R24" s="90" t="s">
        <v>78</v>
      </c>
      <c r="S24" s="91"/>
    </row>
    <row r="25" customFormat="false" ht="19.45" hidden="false" customHeight="true" outlineLevel="0" collapsed="false">
      <c r="B25" s="84" t="s">
        <v>79</v>
      </c>
      <c r="C25" s="92" t="s">
        <v>80</v>
      </c>
      <c r="D25" s="93" t="s">
        <v>81</v>
      </c>
      <c r="E25" s="94"/>
      <c r="F25" s="95" t="s">
        <v>82</v>
      </c>
      <c r="G25" s="95"/>
      <c r="H25" s="95"/>
      <c r="I25" s="96" t="n">
        <v>5.2</v>
      </c>
      <c r="K25" s="5"/>
      <c r="L25" s="5"/>
      <c r="M25" s="97"/>
      <c r="N25" s="97"/>
      <c r="O25" s="97"/>
      <c r="P25" s="97"/>
      <c r="Q25" s="97"/>
      <c r="R25" s="97"/>
      <c r="S25" s="91"/>
    </row>
    <row r="26" customFormat="false" ht="19.45" hidden="false" customHeight="true" outlineLevel="0" collapsed="false">
      <c r="B26" s="98" t="s">
        <v>83</v>
      </c>
      <c r="C26" s="99" t="s">
        <v>84</v>
      </c>
      <c r="D26" s="100" t="s">
        <v>85</v>
      </c>
      <c r="E26" s="4"/>
      <c r="F26" s="101" t="s">
        <v>86</v>
      </c>
      <c r="G26" s="101"/>
      <c r="H26" s="101"/>
      <c r="I26" s="102" t="n">
        <f aca="false">(I25 -1.86336)/0.62686</f>
        <v>5.32278339661168</v>
      </c>
      <c r="K26" s="103"/>
      <c r="L26" s="24"/>
      <c r="M26" s="51"/>
      <c r="N26" s="51"/>
      <c r="O26" s="104"/>
      <c r="P26" s="104"/>
      <c r="Q26" s="3"/>
      <c r="R26" s="5"/>
      <c r="S26" s="91"/>
    </row>
    <row r="27" customFormat="false" ht="25.2" hidden="false" customHeight="true" outlineLevel="0" collapsed="false">
      <c r="B27" s="51" t="s">
        <v>87</v>
      </c>
      <c r="E27" s="105"/>
      <c r="F27" s="101" t="s">
        <v>88</v>
      </c>
      <c r="G27" s="106" t="n">
        <v>0.032</v>
      </c>
      <c r="H27" s="107" t="s">
        <v>89</v>
      </c>
      <c r="I27" s="102" t="n">
        <f aca="false">1-6.9215*G27</f>
        <v>0.778512</v>
      </c>
      <c r="M27" s="51"/>
      <c r="N27" s="51"/>
      <c r="O27" s="104"/>
      <c r="P27" s="104"/>
      <c r="Q27" s="3"/>
      <c r="R27" s="18" t="s">
        <v>90</v>
      </c>
      <c r="S27" s="91"/>
    </row>
    <row r="28" customFormat="false" ht="19.45" hidden="false" customHeight="true" outlineLevel="0" collapsed="false">
      <c r="B28" s="5"/>
      <c r="E28" s="105"/>
      <c r="F28" s="108"/>
      <c r="G28" s="108"/>
      <c r="H28" s="108"/>
      <c r="I28" s="108"/>
      <c r="M28" s="51"/>
      <c r="N28" s="51"/>
      <c r="O28" s="104"/>
      <c r="P28" s="104"/>
      <c r="Q28" s="3"/>
      <c r="R28" s="18" t="s">
        <v>78</v>
      </c>
      <c r="S28" s="91"/>
    </row>
    <row r="29" customFormat="false" ht="15" hidden="false" customHeight="false" outlineLevel="0" collapsed="false">
      <c r="B29" s="5"/>
      <c r="E29" s="105"/>
      <c r="F29" s="109"/>
      <c r="G29" s="4"/>
      <c r="M29" s="51"/>
      <c r="N29" s="51"/>
      <c r="O29" s="104"/>
      <c r="P29" s="104"/>
      <c r="Q29" s="3"/>
      <c r="R29" s="51" t="s">
        <v>91</v>
      </c>
      <c r="S29" s="91"/>
    </row>
    <row r="30" customFormat="false" ht="15" hidden="false" customHeight="false" outlineLevel="0" collapsed="false">
      <c r="B30" s="5"/>
      <c r="E30" s="4"/>
      <c r="F30" s="4"/>
      <c r="G30" s="4"/>
      <c r="M30" s="51"/>
      <c r="N30" s="51"/>
      <c r="O30" s="104"/>
      <c r="P30" s="104"/>
      <c r="Q30" s="3"/>
      <c r="R30" s="51" t="s">
        <v>92</v>
      </c>
      <c r="S30" s="91"/>
    </row>
    <row r="31" customFormat="false" ht="19.7" hidden="false" customHeight="false" outlineLevel="0" collapsed="false">
      <c r="B31" s="5"/>
      <c r="E31" s="110"/>
      <c r="F31" s="110"/>
      <c r="G31" s="110"/>
      <c r="M31" s="51"/>
      <c r="N31" s="51"/>
      <c r="O31" s="104"/>
      <c r="P31" s="104"/>
      <c r="Q31" s="3"/>
      <c r="R31" s="3" t="s">
        <v>93</v>
      </c>
      <c r="S31" s="91"/>
    </row>
    <row r="32" customFormat="false" ht="15" hidden="false" customHeight="false" outlineLevel="0" collapsed="false">
      <c r="B32" s="5"/>
      <c r="F32" s="4"/>
      <c r="G32" s="4"/>
      <c r="M32" s="51"/>
      <c r="N32" s="51"/>
      <c r="O32" s="104"/>
      <c r="P32" s="104"/>
      <c r="Q32" s="3"/>
      <c r="R32" s="3" t="s">
        <v>94</v>
      </c>
      <c r="S32" s="91"/>
    </row>
    <row r="33" customFormat="false" ht="15" hidden="false" customHeight="false" outlineLevel="0" collapsed="false">
      <c r="B33" s="5"/>
      <c r="F33" s="4"/>
      <c r="G33" s="4"/>
      <c r="M33" s="51"/>
      <c r="N33" s="51"/>
      <c r="O33" s="104"/>
      <c r="P33" s="104"/>
      <c r="Q33" s="3"/>
      <c r="R33" s="111"/>
      <c r="S33" s="91"/>
    </row>
    <row r="34" customFormat="false" ht="17.35" hidden="false" customHeight="false" outlineLevel="0" collapsed="false">
      <c r="B34" s="5"/>
      <c r="F34" s="112"/>
      <c r="G34" s="4"/>
      <c r="M34" s="51"/>
      <c r="N34" s="51"/>
      <c r="O34" s="104"/>
      <c r="P34" s="104"/>
      <c r="Q34" s="3"/>
      <c r="R34" s="111"/>
      <c r="S34" s="91"/>
    </row>
    <row r="35" customFormat="false" ht="17.35" hidden="false" customHeight="false" outlineLevel="0" collapsed="false">
      <c r="B35" s="5"/>
      <c r="F35" s="4"/>
      <c r="G35" s="4"/>
      <c r="H35" s="113" t="s">
        <v>95</v>
      </c>
      <c r="M35" s="51"/>
      <c r="N35" s="51"/>
      <c r="O35" s="51"/>
      <c r="P35" s="51"/>
      <c r="Q35" s="3"/>
      <c r="R35" s="111"/>
      <c r="S35" s="91"/>
    </row>
    <row r="36" customFormat="false" ht="17.35" hidden="false" customHeight="false" outlineLevel="0" collapsed="false">
      <c r="B36" s="5"/>
      <c r="F36" s="4"/>
      <c r="G36" s="112"/>
      <c r="H36" s="112" t="s">
        <v>96</v>
      </c>
      <c r="M36" s="51"/>
      <c r="N36" s="51"/>
      <c r="O36" s="114"/>
      <c r="P36" s="115"/>
      <c r="Q36" s="3"/>
      <c r="R36" s="3"/>
      <c r="S36" s="91"/>
    </row>
    <row r="37" customFormat="false" ht="17.35" hidden="false" customHeight="false" outlineLevel="0" collapsed="false">
      <c r="B37" s="5"/>
      <c r="F37" s="4"/>
      <c r="H37" s="112" t="s">
        <v>97</v>
      </c>
      <c r="M37" s="51"/>
      <c r="N37" s="51"/>
      <c r="O37" s="51"/>
      <c r="P37" s="116"/>
      <c r="Q37" s="3"/>
      <c r="R37" s="3"/>
      <c r="S37" s="91"/>
    </row>
    <row r="38" customFormat="false" ht="17.35" hidden="false" customHeight="false" outlineLevel="0" collapsed="false">
      <c r="B38" s="4"/>
      <c r="F38" s="4"/>
      <c r="H38" s="112" t="s">
        <v>98</v>
      </c>
      <c r="M38" s="51"/>
      <c r="N38" s="51"/>
      <c r="O38" s="51"/>
      <c r="P38" s="117"/>
      <c r="Q38" s="3"/>
      <c r="R38" s="3"/>
      <c r="S38" s="91"/>
    </row>
    <row r="39" customFormat="false" ht="17.35" hidden="false" customHeight="false" outlineLevel="0" collapsed="false">
      <c r="B39" s="4"/>
      <c r="F39" s="4"/>
      <c r="H39" s="112" t="s">
        <v>99</v>
      </c>
      <c r="M39" s="3"/>
      <c r="N39" s="3"/>
      <c r="O39" s="51"/>
      <c r="P39" s="118"/>
      <c r="Q39" s="3"/>
      <c r="R39" s="3"/>
      <c r="S39" s="91"/>
    </row>
    <row r="40" customFormat="false" ht="17.35" hidden="false" customHeight="false" outlineLevel="0" collapsed="false">
      <c r="B40" s="4"/>
      <c r="F40" s="4"/>
      <c r="H40" s="112" t="s">
        <v>100</v>
      </c>
      <c r="M40" s="3"/>
      <c r="N40" s="3"/>
      <c r="O40" s="51"/>
      <c r="P40" s="119"/>
      <c r="Q40" s="3"/>
      <c r="R40" s="3"/>
      <c r="S40" s="91"/>
    </row>
    <row r="41" customFormat="false" ht="17.35" hidden="false" customHeight="false" outlineLevel="0" collapsed="false">
      <c r="B41" s="111"/>
      <c r="F41" s="4"/>
      <c r="H41" s="112" t="s">
        <v>101</v>
      </c>
      <c r="M41" s="3"/>
      <c r="N41" s="3"/>
      <c r="O41" s="3"/>
      <c r="P41" s="119"/>
      <c r="Q41" s="3"/>
      <c r="R41" s="3"/>
      <c r="S41" s="91"/>
    </row>
    <row r="42" customFormat="false" ht="17.35" hidden="false" customHeight="false" outlineLevel="0" collapsed="false">
      <c r="B42" s="111"/>
      <c r="F42" s="4"/>
      <c r="H42" s="112" t="s">
        <v>102</v>
      </c>
      <c r="M42" s="3"/>
      <c r="N42" s="3"/>
      <c r="O42" s="3"/>
      <c r="P42" s="3"/>
      <c r="Q42" s="3"/>
      <c r="R42" s="3"/>
      <c r="S42" s="91"/>
    </row>
    <row r="43" customFormat="false" ht="17.35" hidden="false" customHeight="false" outlineLevel="0" collapsed="false">
      <c r="B43" s="111"/>
      <c r="F43" s="4"/>
      <c r="H43" s="112" t="s">
        <v>103</v>
      </c>
      <c r="M43" s="3"/>
      <c r="N43" s="3"/>
      <c r="O43" s="3"/>
      <c r="P43" s="3"/>
      <c r="Q43" s="3"/>
      <c r="R43" s="3"/>
    </row>
    <row r="44" customFormat="false" ht="17.35" hidden="false" customHeight="false" outlineLevel="0" collapsed="false">
      <c r="B44" s="111"/>
      <c r="F44" s="4"/>
      <c r="H44" s="112" t="s">
        <v>104</v>
      </c>
      <c r="M44" s="3"/>
      <c r="N44" s="3"/>
      <c r="O44" s="3"/>
      <c r="P44" s="3"/>
      <c r="Q44" s="3"/>
      <c r="R44" s="3"/>
    </row>
    <row r="45" customFormat="false" ht="15" hidden="false" customHeight="false" outlineLevel="0" collapsed="false">
      <c r="B45" s="111"/>
      <c r="M45" s="3"/>
      <c r="N45" s="3"/>
      <c r="O45" s="3"/>
      <c r="P45" s="3"/>
      <c r="Q45" s="3"/>
      <c r="R45" s="3"/>
    </row>
    <row r="46" customFormat="false" ht="15" hidden="false" customHeight="false" outlineLevel="0" collapsed="false">
      <c r="B46" s="111"/>
      <c r="M46" s="3"/>
      <c r="N46" s="3"/>
      <c r="O46" s="3"/>
      <c r="P46" s="3"/>
      <c r="Q46" s="3"/>
      <c r="R46" s="3"/>
    </row>
    <row r="47" customFormat="false" ht="15" hidden="false" customHeight="false" outlineLevel="0" collapsed="false">
      <c r="B47" s="111"/>
      <c r="M47" s="3"/>
      <c r="N47" s="3"/>
      <c r="O47" s="3"/>
      <c r="P47" s="3"/>
      <c r="Q47" s="3"/>
      <c r="R47" s="3"/>
    </row>
    <row r="48" customFormat="false" ht="15" hidden="false" customHeight="false" outlineLevel="0" collapsed="false">
      <c r="B48" s="111"/>
      <c r="M48" s="3"/>
      <c r="N48" s="3"/>
      <c r="O48" s="3"/>
      <c r="P48" s="3"/>
      <c r="Q48" s="3"/>
      <c r="R48" s="3"/>
    </row>
    <row r="49" customFormat="false" ht="15" hidden="false" customHeight="false" outlineLevel="0" collapsed="false">
      <c r="M49" s="3"/>
      <c r="N49" s="3"/>
      <c r="O49" s="3"/>
      <c r="P49" s="3"/>
      <c r="Q49" s="3"/>
      <c r="R49" s="3"/>
    </row>
    <row r="50" customFormat="false" ht="15" hidden="false" customHeight="false" outlineLevel="0" collapsed="false">
      <c r="M50" s="3"/>
      <c r="N50" s="3"/>
      <c r="O50" s="3"/>
      <c r="P50" s="3"/>
      <c r="Q50" s="3"/>
      <c r="R50" s="3"/>
    </row>
    <row r="51" customFormat="false" ht="15" hidden="false" customHeight="false" outlineLevel="0" collapsed="false">
      <c r="M51" s="3"/>
      <c r="N51" s="3"/>
      <c r="O51" s="3"/>
      <c r="P51" s="3"/>
      <c r="Q51" s="3"/>
      <c r="R51" s="3"/>
    </row>
  </sheetData>
  <sheetProtection sheet="true" password="d3f5" objects="true" scenarios="true" selectLockedCells="true"/>
  <mergeCells count="50">
    <mergeCell ref="D2:M2"/>
    <mergeCell ref="E3:H3"/>
    <mergeCell ref="M3:R3"/>
    <mergeCell ref="G5:H5"/>
    <mergeCell ref="I5:I6"/>
    <mergeCell ref="M7:R7"/>
    <mergeCell ref="M8:M9"/>
    <mergeCell ref="N8:N9"/>
    <mergeCell ref="O8:O9"/>
    <mergeCell ref="P8:P9"/>
    <mergeCell ref="Q8:Q9"/>
    <mergeCell ref="R8:R9"/>
    <mergeCell ref="M12:M13"/>
    <mergeCell ref="N12:N13"/>
    <mergeCell ref="O12:O13"/>
    <mergeCell ref="P12:P13"/>
    <mergeCell ref="Q12:Q13"/>
    <mergeCell ref="R12:R13"/>
    <mergeCell ref="M15:R15"/>
    <mergeCell ref="B16:D16"/>
    <mergeCell ref="F16:G16"/>
    <mergeCell ref="I16:I17"/>
    <mergeCell ref="M16:M17"/>
    <mergeCell ref="N16:N17"/>
    <mergeCell ref="O16:O17"/>
    <mergeCell ref="P16:P17"/>
    <mergeCell ref="Q16:Q17"/>
    <mergeCell ref="R16:R17"/>
    <mergeCell ref="C17:D17"/>
    <mergeCell ref="F17:G17"/>
    <mergeCell ref="C18:D18"/>
    <mergeCell ref="H18:I22"/>
    <mergeCell ref="C19:D19"/>
    <mergeCell ref="C20:D20"/>
    <mergeCell ref="M20:M21"/>
    <mergeCell ref="N20:N21"/>
    <mergeCell ref="O20:O21"/>
    <mergeCell ref="P20:P21"/>
    <mergeCell ref="Q20:Q21"/>
    <mergeCell ref="R20:R21"/>
    <mergeCell ref="C21:D21"/>
    <mergeCell ref="C22:D22"/>
    <mergeCell ref="H23:I24"/>
    <mergeCell ref="C24:D24"/>
    <mergeCell ref="M24:Q24"/>
    <mergeCell ref="F25:H25"/>
    <mergeCell ref="M25:R25"/>
    <mergeCell ref="F26:H26"/>
    <mergeCell ref="F28:H28"/>
    <mergeCell ref="E31:G31"/>
  </mergeCells>
  <conditionalFormatting sqref="G7:G15">
    <cfRule type="cellIs" priority="2" operator="lessThanOrEqual" aboveAverage="0" equalAverage="0" bottom="0" percent="0" rank="0" text="" dxfId="0">
      <formula>0</formula>
    </cfRule>
  </conditionalFormatting>
  <conditionalFormatting sqref="C7:E15">
    <cfRule type="cellIs" priority="3" operator="lessThanOrEqual" aboveAverage="0" equalAverage="0" bottom="0" percent="0" rank="0" text="" dxfId="1">
      <formula>0</formula>
    </cfRule>
  </conditionalFormatting>
  <conditionalFormatting sqref="H7:I15">
    <cfRule type="cellIs" priority="4" operator="equal" aboveAverage="0" equalAverage="0" bottom="0" percent="0" rank="0" text="" dxfId="2">
      <formula>0</formula>
    </cfRule>
  </conditionalFormatting>
  <conditionalFormatting sqref="F7:F15">
    <cfRule type="cellIs" priority="5" operator="equal" aboveAverage="0" equalAverage="0" bottom="0" percent="0" rank="0" text="" dxfId="3">
      <formula>0</formula>
    </cfRule>
  </conditionalFormatting>
  <conditionalFormatting sqref="B7:B15">
    <cfRule type="cellIs" priority="6" operator="equal" aboveAverage="0" equalAverage="0" bottom="0" percent="0" rank="0" text="" dxfId="4">
      <formula>"None"</formula>
    </cfRule>
    <cfRule type="cellIs" priority="7" operator="equal" aboveAverage="0" equalAverage="0" bottom="0" percent="0" rank="0" text="" dxfId="5">
      <formula>"Not Categorized"</formula>
    </cfRule>
    <cfRule type="cellIs" priority="8" operator="notEqual" aboveAverage="0" equalAverage="0" bottom="0" percent="0" rank="0" text="" dxfId="6">
      <formula>"Not Categorized"</formula>
    </cfRule>
  </conditionalFormatting>
  <conditionalFormatting sqref="N24 N22">
    <cfRule type="cellIs" priority="9" operator="lessThanOrEqual" aboveAverage="0" equalAverage="0" bottom="0" percent="0" rank="0" text="" dxfId="7">
      <formula>2</formula>
    </cfRule>
    <cfRule type="cellIs" priority="10" operator="lessThanOrEqual" aboveAverage="0" equalAverage="0" bottom="0" percent="0" rank="0" text="" dxfId="8">
      <formula>4</formula>
    </cfRule>
    <cfRule type="cellIs" priority="11" operator="lessThanOrEqual" aboveAverage="0" equalAverage="0" bottom="0" percent="0" rank="0" text="" dxfId="9">
      <formula>6</formula>
    </cfRule>
    <cfRule type="cellIs" priority="12" operator="lessThanOrEqual" aboveAverage="0" equalAverage="0" bottom="0" percent="0" rank="0" text="" dxfId="10">
      <formula>8</formula>
    </cfRule>
    <cfRule type="cellIs" priority="13" operator="lessThanOrEqual" aboveAverage="0" equalAverage="0" bottom="0" percent="0" rank="0" text="" dxfId="11">
      <formula>10</formula>
    </cfRule>
    <cfRule type="cellIs" priority="14" operator="lessThanOrEqual" aboveAverage="0" equalAverage="0" bottom="0" percent="0" rank="0" text="" dxfId="12">
      <formula>12</formula>
    </cfRule>
    <cfRule type="cellIs" priority="15" operator="lessThanOrEqual" aboveAverage="0" equalAverage="0" bottom="0" percent="0" rank="0" text="" dxfId="13">
      <formula>14</formula>
    </cfRule>
    <cfRule type="cellIs" priority="16" operator="lessThanOrEqual" aboveAverage="0" equalAverage="0" bottom="0" percent="0" rank="0" text="" dxfId="14">
      <formula>16</formula>
    </cfRule>
    <cfRule type="cellIs" priority="17" operator="lessThanOrEqual" aboveAverage="0" equalAverage="0" bottom="0" percent="0" rank="0" text="" dxfId="15">
      <formula>18</formula>
    </cfRule>
    <cfRule type="cellIs" priority="18" operator="lessThanOrEqual" aboveAverage="0" equalAverage="0" bottom="0" percent="0" rank="0" text="" dxfId="16">
      <formula>20</formula>
    </cfRule>
    <cfRule type="cellIs" priority="19" operator="lessThanOrEqual" aboveAverage="0" equalAverage="0" bottom="0" percent="0" rank="0" text="" dxfId="17">
      <formula>22</formula>
    </cfRule>
    <cfRule type="cellIs" priority="20" operator="lessThanOrEqual" aboveAverage="0" equalAverage="0" bottom="0" percent="0" rank="0" text="" dxfId="18">
      <formula>24</formula>
    </cfRule>
    <cfRule type="cellIs" priority="21" operator="lessThanOrEqual" aboveAverage="0" equalAverage="0" bottom="0" percent="0" rank="0" text="" dxfId="19">
      <formula>26</formula>
    </cfRule>
    <cfRule type="cellIs" priority="22" operator="lessThanOrEqual" aboveAverage="0" equalAverage="0" bottom="0" percent="0" rank="0" text="" dxfId="20">
      <formula>28</formula>
    </cfRule>
    <cfRule type="cellIs" priority="23" operator="lessThanOrEqual" aboveAverage="0" equalAverage="0" bottom="0" percent="0" rank="0" text="" dxfId="21">
      <formula>30</formula>
    </cfRule>
    <cfRule type="cellIs" priority="24" operator="lessThanOrEqual" aboveAverage="0" equalAverage="0" bottom="0" percent="0" rank="0" text="" dxfId="22">
      <formula>32</formula>
    </cfRule>
    <cfRule type="cellIs" priority="25" operator="lessThanOrEqual" aboveAverage="0" equalAverage="0" bottom="0" percent="0" rank="0" text="" dxfId="23">
      <formula>34</formula>
    </cfRule>
    <cfRule type="cellIs" priority="26" operator="lessThanOrEqual" aboveAverage="0" equalAverage="0" bottom="0" percent="0" rank="0" text="" dxfId="24">
      <formula>36</formula>
    </cfRule>
    <cfRule type="cellIs" priority="27" operator="lessThanOrEqual" aboveAverage="0" equalAverage="0" bottom="0" percent="0" rank="0" text="" dxfId="25">
      <formula>38</formula>
    </cfRule>
    <cfRule type="cellIs" priority="28" operator="greaterThan" aboveAverage="0" equalAverage="0" bottom="0" percent="0" rank="0" text="" dxfId="26">
      <formula>38</formula>
    </cfRule>
  </conditionalFormatting>
  <dataValidations count="12">
    <dataValidation allowBlank="true" errorStyle="stop" errorTitle="1.00 or less" operator="equal" showDropDown="false" showErrorMessage="true" showInputMessage="false" sqref="R14" type="none">
      <formula1>0</formula1>
      <formula2>0</formula2>
    </dataValidation>
    <dataValidation allowBlank="true" errorStyle="stop" operator="equal" showDropDown="false" showErrorMessage="true" showInputMessage="false" sqref="O24" type="list">
      <formula1>'Mash pH'!$P$36:$P$40</formula1>
      <formula2>0</formula2>
    </dataValidation>
    <dataValidation allowBlank="true" errorStyle="stop" operator="equal" showDropDown="false" showErrorMessage="true" showInputMessage="false" sqref="R24" type="list">
      <formula1>'Mash pH'!$R$27:$R$28</formula1>
      <formula2>0</formula2>
    </dataValidation>
    <dataValidation allowBlank="true" errorStyle="stop" errorTitle="5.1 to 5.8" operator="between" showDropDown="false" showErrorMessage="true" showInputMessage="false" sqref="H17:I17 R17" type="decimal">
      <formula1>5.1</formula1>
      <formula2>5.8</formula2>
    </dataValidation>
    <dataValidation allowBlank="true" errorStyle="stop" errorTitle=" 2% to 4.5%" operator="between" showDropDown="false" showErrorMessage="true" showInputMessage="false" sqref="E18" type="decimal">
      <formula1>0.02</formula1>
      <formula2>0.045</formula2>
    </dataValidation>
    <dataValidation allowBlank="true" error="Must be between 0.60 and 1.00" errorStyle="stop" errorTitle="0.60 to 1.00" operator="between" showDropDown="false" showErrorMessage="true" showInputMessage="false" sqref="E19" type="decimal">
      <formula1>0.6</formula1>
      <formula2>1</formula2>
    </dataValidation>
    <dataValidation allowBlank="true" errorStyle="stop" operator="equal" showDropDown="false" showErrorMessage="true" showInputMessage="false" sqref="O22" type="none">
      <formula1>'Mash pH'!$P$35:$P$41</formula1>
      <formula2>0</formula2>
    </dataValidation>
    <dataValidation allowBlank="true" errorStyle="stop" errorTitle="Value must be between 0.25 and 1" operator="between" showDropDown="false" showErrorMessage="true" showInputMessage="false" sqref="E21" type="decimal">
      <formula1>0.25</formula1>
      <formula2>1</formula2>
    </dataValidation>
    <dataValidation allowBlank="true" errorStyle="stop" operator="equal" showDropDown="false" showErrorMessage="true" showInputMessage="false" sqref="G23:G24" type="none">
      <formula1>0</formula1>
      <formula2>0</formula2>
    </dataValidation>
    <dataValidation allowBlank="true" errorStyle="stop" operator="equal" showDropDown="false" showErrorMessage="true" showInputMessage="false" sqref="O23" type="none">
      <formula1>'Mash pH'!$P$36:$P$40</formula1>
      <formula2>0</formula2>
    </dataValidation>
    <dataValidation allowBlank="true" error="pH values must be between 5.0 and 5.6" errorStyle="stop" errorTitle="Defined Range For Knockout pH" operator="between" showDropDown="false" showErrorMessage="true" showInputMessage="false" sqref="I25" type="decimal">
      <formula1>5</formula1>
      <formula2>5.6</formula2>
    </dataValidation>
    <dataValidation allowBlank="true" errorStyle="stop" operator="equal" showDropDown="false" showErrorMessage="true" showInputMessage="false" sqref="B7:B15" type="list">
      <formula1>'Mash pH'!$B$17:$B$27</formula1>
      <formula2>0</formula2>
    </dataValidation>
  </dataValidations>
  <printOptions headings="false" gridLines="false" gridLinesSet="true" horizontalCentered="false" verticalCentered="false"/>
  <pageMargins left="0.25" right="0.25" top="0.9875" bottom="0.9875" header="0.75" footer="0.75"/>
  <pageSetup paperSize="1" scale="100" fitToWidth="1" fitToHeight="1" pageOrder="downThenOver" orientation="landscape" blackAndWhite="false" draft="false" cellComments="none" firstPageNumber="1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P10"/>
  <sheetViews>
    <sheetView showFormulas="false" showGridLines="false" showRowColHeaders="false" showZeros="true" rightToLeft="false" tabSelected="false" showOutlineSymbols="false" defaultGridColor="true" view="normal" topLeftCell="A1" colorId="64" zoomScale="68" zoomScaleNormal="68" zoomScalePageLayoutView="100" workbookViewId="0">
      <selection pane="topLeft" activeCell="A1" activeCellId="0" sqref="A1"/>
    </sheetView>
  </sheetViews>
  <sheetFormatPr defaultColWidth="14.75" defaultRowHeight="12.8" zeroHeight="false" outlineLevelRow="0" outlineLevelCol="0"/>
  <cols>
    <col collapsed="false" customWidth="true" hidden="false" outlineLevel="0" max="6" min="6" style="4" width="20.25"/>
  </cols>
  <sheetData>
    <row r="1" customFormat="false" ht="12.8" hidden="false" customHeight="false" outlineLevel="0" collapsed="false">
      <c r="A1" s="271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customFormat="false" ht="12.8" hidden="false" customHeight="false" outlineLevel="0" collapsed="false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2"/>
      <c r="O2" s="122"/>
      <c r="P2" s="122"/>
    </row>
    <row r="3" customFormat="false" ht="12.8" hidden="false" customHeight="false" outlineLevel="0" collapsed="false">
      <c r="A3" s="123"/>
      <c r="B3" s="272"/>
      <c r="C3" s="272"/>
      <c r="D3" s="272"/>
      <c r="E3" s="123"/>
      <c r="F3" s="273" t="s">
        <v>252</v>
      </c>
      <c r="G3" s="273"/>
      <c r="H3" s="273"/>
      <c r="I3" s="273"/>
      <c r="J3" s="273"/>
      <c r="K3" s="273"/>
      <c r="L3" s="273"/>
      <c r="M3" s="273"/>
      <c r="N3" s="273"/>
      <c r="O3" s="122"/>
      <c r="P3" s="122"/>
    </row>
    <row r="4" customFormat="false" ht="12.8" hidden="false" customHeight="false" outlineLevel="0" collapsed="false">
      <c r="A4" s="123"/>
      <c r="B4" s="272"/>
      <c r="C4" s="272"/>
      <c r="D4" s="272"/>
      <c r="E4" s="123"/>
      <c r="F4" s="273"/>
      <c r="G4" s="273"/>
      <c r="H4" s="273"/>
      <c r="I4" s="273"/>
      <c r="J4" s="273"/>
      <c r="K4" s="273"/>
      <c r="L4" s="273"/>
      <c r="M4" s="273"/>
      <c r="N4" s="273"/>
      <c r="O4" s="122"/>
      <c r="P4" s="122"/>
    </row>
    <row r="5" customFormat="false" ht="12.8" hidden="false" customHeight="false" outlineLevel="0" collapsed="false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2"/>
      <c r="O5" s="122"/>
      <c r="P5" s="122"/>
    </row>
    <row r="6" customFormat="false" ht="17.35" hidden="false" customHeight="false" outlineLevel="0" collapsed="false">
      <c r="A6" s="133"/>
      <c r="B6" s="133"/>
      <c r="C6" s="133"/>
      <c r="D6" s="133"/>
      <c r="E6" s="133"/>
      <c r="F6" s="274"/>
      <c r="G6" s="274"/>
      <c r="H6" s="274"/>
      <c r="I6" s="274"/>
      <c r="J6" s="274"/>
      <c r="K6" s="274"/>
      <c r="L6" s="133"/>
      <c r="M6" s="133"/>
      <c r="N6" s="122"/>
      <c r="O6" s="122"/>
      <c r="P6" s="122"/>
    </row>
    <row r="7" customFormat="false" ht="17.35" hidden="false" customHeight="false" outlineLevel="0" collapsed="false">
      <c r="A7" s="133"/>
      <c r="B7" s="133"/>
      <c r="C7" s="133"/>
      <c r="D7" s="133"/>
      <c r="E7" s="133"/>
      <c r="F7" s="274" t="s">
        <v>253</v>
      </c>
      <c r="G7" s="274" t="s">
        <v>254</v>
      </c>
      <c r="H7" s="274" t="s">
        <v>255</v>
      </c>
      <c r="I7" s="274" t="s">
        <v>256</v>
      </c>
      <c r="J7" s="274" t="s">
        <v>257</v>
      </c>
      <c r="K7" s="274" t="s">
        <v>258</v>
      </c>
      <c r="L7" s="133" t="s">
        <v>259</v>
      </c>
      <c r="M7" s="133" t="s">
        <v>260</v>
      </c>
      <c r="N7" s="275"/>
      <c r="O7" s="122"/>
      <c r="P7" s="122"/>
    </row>
    <row r="8" customFormat="false" ht="17.35" hidden="false" customHeight="false" outlineLevel="0" collapsed="false">
      <c r="A8" s="133"/>
      <c r="B8" s="133"/>
      <c r="C8" s="133"/>
      <c r="D8" s="133"/>
      <c r="E8" s="133"/>
      <c r="F8" s="274"/>
      <c r="G8" s="274"/>
      <c r="H8" s="274"/>
      <c r="I8" s="274"/>
      <c r="J8" s="274"/>
      <c r="K8" s="274"/>
      <c r="L8" s="133"/>
      <c r="M8" s="133"/>
      <c r="N8" s="122"/>
      <c r="O8" s="122"/>
      <c r="P8" s="122"/>
    </row>
    <row r="9" customFormat="false" ht="17.35" hidden="false" customHeight="false" outlineLevel="0" collapsed="false">
      <c r="A9" s="133"/>
      <c r="B9" s="142"/>
      <c r="C9" s="133"/>
      <c r="D9" s="142"/>
      <c r="E9" s="133"/>
      <c r="F9" s="274" t="n">
        <v>88</v>
      </c>
      <c r="G9" s="274" t="n">
        <f aca="false">0.99851*2.71828^(0.0021755*F9)</f>
        <v>1.20919247414113</v>
      </c>
      <c r="H9" s="274" t="n">
        <v>1000</v>
      </c>
      <c r="I9" s="274" t="n">
        <f aca="false">H9*G9</f>
        <v>1209.19247414113</v>
      </c>
      <c r="J9" s="274" t="n">
        <f aca="false">I9*F9/100</f>
        <v>1064.08937724419</v>
      </c>
      <c r="K9" s="274" t="n">
        <v>90.07794</v>
      </c>
      <c r="L9" s="274" t="e">
        <f aca="false">J9/K9*(#REF!*0.975+6.19)/11.81</f>
        <v>#REF!</v>
      </c>
      <c r="M9" s="274" t="e">
        <f aca="false">L9</f>
        <v>#REF!</v>
      </c>
      <c r="N9" s="275"/>
      <c r="O9" s="122"/>
      <c r="P9" s="122"/>
    </row>
    <row r="10" customFormat="false" ht="17.35" hidden="false" customHeight="false" outlineLevel="0" collapsed="false">
      <c r="F10" s="274" t="n">
        <f aca="false">'Lactic Acid %'!I13</f>
        <v>88</v>
      </c>
      <c r="G10" s="274" t="n">
        <f aca="false">0.99851*2.71828^(0.0021755*F10)</f>
        <v>1.20919247414113</v>
      </c>
      <c r="H10" s="274" t="n">
        <v>1000</v>
      </c>
      <c r="I10" s="274" t="n">
        <f aca="false">H10*G10</f>
        <v>1209.19247414113</v>
      </c>
      <c r="J10" s="274" t="n">
        <f aca="false">I10*F10/100</f>
        <v>1064.08937724419</v>
      </c>
      <c r="K10" s="274" t="n">
        <v>90.07794</v>
      </c>
      <c r="L10" s="274" t="e">
        <f aca="false">J10/K10*(#REF!*0.975+6.19)/11.81</f>
        <v>#REF!</v>
      </c>
      <c r="M10" s="274" t="e">
        <f aca="false">L10</f>
        <v>#REF!</v>
      </c>
      <c r="N10" s="275" t="e">
        <f aca="false">L9/L10</f>
        <v>#REF!</v>
      </c>
    </row>
  </sheetData>
  <sheetProtection sheet="true" objects="true" scenarios="true"/>
  <mergeCells count="2">
    <mergeCell ref="B3:D4"/>
    <mergeCell ref="F3:N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S10"/>
  <sheetViews>
    <sheetView showFormulas="false" showGridLines="false" showRowColHeaders="false" showZeros="true" rightToLeft="false" tabSelected="false" showOutlineSymbols="false" defaultGridColor="true" view="normal" topLeftCell="A5" colorId="64" zoomScale="68" zoomScaleNormal="68" zoomScalePageLayoutView="100" workbookViewId="0">
      <selection pane="topLeft" activeCell="N9" activeCellId="0" sqref="N9"/>
    </sheetView>
  </sheetViews>
  <sheetFormatPr defaultColWidth="19.43359375" defaultRowHeight="12.8" zeroHeight="false" outlineLevelRow="0" outlineLevelCol="0"/>
  <cols>
    <col collapsed="false" customWidth="true" hidden="false" outlineLevel="0" max="5" min="5" style="4" width="11.34"/>
  </cols>
  <sheetData>
    <row r="1" customFormat="false" ht="17.3" hidden="false" customHeight="true" outlineLevel="0" collapsed="false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</row>
    <row r="2" customFormat="false" ht="17.3" hidden="false" customHeight="true" outlineLevel="0" collapsed="false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2"/>
      <c r="P2" s="122"/>
      <c r="Q2" s="122"/>
      <c r="R2" s="122"/>
      <c r="S2" s="122"/>
    </row>
    <row r="3" customFormat="false" ht="17.3" hidden="false" customHeight="true" outlineLevel="0" collapsed="false">
      <c r="A3" s="123"/>
      <c r="B3" s="272" t="s">
        <v>261</v>
      </c>
      <c r="C3" s="272"/>
      <c r="D3" s="272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2"/>
      <c r="P3" s="122"/>
      <c r="Q3" s="122"/>
      <c r="R3" s="122"/>
      <c r="S3" s="122"/>
    </row>
    <row r="4" customFormat="false" ht="17.3" hidden="false" customHeight="true" outlineLevel="0" collapsed="false">
      <c r="A4" s="123"/>
      <c r="B4" s="272"/>
      <c r="C4" s="272"/>
      <c r="D4" s="27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2"/>
      <c r="P4" s="122"/>
      <c r="Q4" s="122"/>
      <c r="R4" s="122"/>
      <c r="S4" s="122"/>
    </row>
    <row r="5" customFormat="false" ht="17.3" hidden="false" customHeight="true" outlineLevel="0" collapsed="false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2"/>
      <c r="P5" s="122"/>
      <c r="Q5" s="122"/>
      <c r="R5" s="122"/>
      <c r="S5" s="122"/>
    </row>
    <row r="6" customFormat="false" ht="17.3" hidden="false" customHeight="true" outlineLevel="0" collapsed="false">
      <c r="A6" s="133"/>
      <c r="B6" s="133" t="s">
        <v>255</v>
      </c>
      <c r="C6" s="133" t="s">
        <v>262</v>
      </c>
      <c r="D6" s="133" t="s">
        <v>255</v>
      </c>
      <c r="E6" s="133"/>
      <c r="F6" s="274"/>
      <c r="G6" s="274"/>
      <c r="H6" s="274"/>
      <c r="I6" s="274"/>
      <c r="J6" s="274"/>
      <c r="K6" s="274"/>
      <c r="L6" s="133"/>
      <c r="M6" s="133" t="s">
        <v>263</v>
      </c>
      <c r="N6" s="133" t="s">
        <v>264</v>
      </c>
      <c r="O6" s="122"/>
      <c r="P6" s="122"/>
      <c r="Q6" s="122"/>
      <c r="R6" s="122"/>
      <c r="S6" s="122"/>
    </row>
    <row r="7" customFormat="false" ht="17.3" hidden="false" customHeight="true" outlineLevel="0" collapsed="false">
      <c r="A7" s="133"/>
      <c r="B7" s="133" t="s">
        <v>265</v>
      </c>
      <c r="C7" s="133" t="s">
        <v>266</v>
      </c>
      <c r="D7" s="133" t="str">
        <f aca="false">"for " &amp;C9 &amp;"%"</f>
        <v>for 88%</v>
      </c>
      <c r="E7" s="133"/>
      <c r="F7" s="274" t="s">
        <v>253</v>
      </c>
      <c r="G7" s="274" t="s">
        <v>254</v>
      </c>
      <c r="H7" s="274" t="s">
        <v>255</v>
      </c>
      <c r="I7" s="274" t="s">
        <v>256</v>
      </c>
      <c r="J7" s="274" t="s">
        <v>257</v>
      </c>
      <c r="K7" s="274" t="s">
        <v>258</v>
      </c>
      <c r="L7" s="133" t="s">
        <v>259</v>
      </c>
      <c r="M7" s="133" t="s">
        <v>267</v>
      </c>
      <c r="N7" s="133" t="s">
        <v>268</v>
      </c>
      <c r="O7" s="275" t="s">
        <v>269</v>
      </c>
      <c r="P7" s="122"/>
      <c r="Q7" s="122"/>
      <c r="R7" s="122"/>
      <c r="S7" s="122"/>
    </row>
    <row r="8" customFormat="false" ht="17.3" hidden="false" customHeight="true" outlineLevel="0" collapsed="false">
      <c r="A8" s="133"/>
      <c r="B8" s="133"/>
      <c r="C8" s="133"/>
      <c r="D8" s="133"/>
      <c r="E8" s="133"/>
      <c r="F8" s="274"/>
      <c r="G8" s="274"/>
      <c r="H8" s="274"/>
      <c r="I8" s="274"/>
      <c r="J8" s="274"/>
      <c r="K8" s="274"/>
      <c r="L8" s="133"/>
      <c r="M8" s="133"/>
      <c r="N8" s="133"/>
      <c r="O8" s="122"/>
      <c r="P8" s="122"/>
      <c r="Q8" s="122"/>
      <c r="R8" s="122"/>
      <c r="S8" s="122"/>
    </row>
    <row r="9" customFormat="false" ht="17.3" hidden="false" customHeight="true" outlineLevel="0" collapsed="false">
      <c r="A9" s="133"/>
      <c r="B9" s="142" t="n">
        <f aca="false">'Mash pH'!L18</f>
        <v>3.26891743433032</v>
      </c>
      <c r="C9" s="133" t="n">
        <f aca="false">'Lactic Acid %'!I13</f>
        <v>88</v>
      </c>
      <c r="D9" s="142" t="n">
        <f aca="false">B9*N9/N10</f>
        <v>3.26895628520051</v>
      </c>
      <c r="E9" s="133"/>
      <c r="F9" s="274" t="n">
        <v>88</v>
      </c>
      <c r="G9" s="274" t="n">
        <f aca="false">1.206</f>
        <v>1.206</v>
      </c>
      <c r="H9" s="274" t="n">
        <v>1000</v>
      </c>
      <c r="I9" s="274" t="n">
        <f aca="false">H9*G9</f>
        <v>1206</v>
      </c>
      <c r="J9" s="274" t="n">
        <f aca="false">I9*F9/100</f>
        <v>1061.28</v>
      </c>
      <c r="K9" s="274" t="n">
        <v>90.078</v>
      </c>
      <c r="L9" s="274" t="n">
        <f aca="false">J9/K9</f>
        <v>11.7817891160994</v>
      </c>
      <c r="M9" s="276" t="n">
        <f aca="false">1-1/(1+10^('Mash pH'!H17-3.86))</f>
        <v>0.971968132848304</v>
      </c>
      <c r="N9" s="274" t="n">
        <f aca="false">L9*M9</f>
        <v>11.4515235687876</v>
      </c>
      <c r="O9" s="275"/>
      <c r="P9" s="122"/>
      <c r="Q9" s="122"/>
      <c r="R9" s="122"/>
      <c r="S9" s="122"/>
    </row>
    <row r="10" customFormat="false" ht="17.3" hidden="false" customHeight="true" outlineLevel="0" collapsed="false">
      <c r="A10" s="133"/>
      <c r="B10" s="133"/>
      <c r="C10" s="133"/>
      <c r="D10" s="133"/>
      <c r="E10" s="133"/>
      <c r="F10" s="274" t="n">
        <f aca="false">C9</f>
        <v>88</v>
      </c>
      <c r="G10" s="274" t="n">
        <f aca="false">0.997*1.00041507432051+0.00237868359250135*F10-0.00000009714854061825*F10^2</f>
        <v>1.20598566693912</v>
      </c>
      <c r="H10" s="274" t="n">
        <v>1000</v>
      </c>
      <c r="I10" s="274" t="n">
        <f aca="false">H10*G10</f>
        <v>1205.98566693912</v>
      </c>
      <c r="J10" s="274" t="n">
        <f aca="false">I10*F10/100</f>
        <v>1061.26738690643</v>
      </c>
      <c r="K10" s="274" t="n">
        <v>90.078</v>
      </c>
      <c r="L10" s="274" t="n">
        <f aca="false">J10/K10</f>
        <v>11.7816490919695</v>
      </c>
      <c r="M10" s="276" t="n">
        <f aca="false">1-1/(1+10^('Mash pH'!H17-3.86))</f>
        <v>0.971968132848304</v>
      </c>
      <c r="N10" s="274" t="n">
        <f aca="false">L10*M9</f>
        <v>11.4513874697955</v>
      </c>
      <c r="O10" s="275" t="n">
        <f aca="false">IF(D9/B9&lt;&gt;0,D9/B9,1)</f>
        <v>1.00001188493468</v>
      </c>
      <c r="P10" s="122"/>
      <c r="Q10" s="122"/>
      <c r="R10" s="122"/>
      <c r="S10" s="122"/>
    </row>
  </sheetData>
  <sheetProtection sheet="true" password="d3f5" objects="true" scenarios="true"/>
  <mergeCells count="1">
    <mergeCell ref="B3:D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S10"/>
  <sheetViews>
    <sheetView showFormulas="false" showGridLines="false" showRowColHeaders="false" showZeros="true" rightToLeft="false" tabSelected="false" showOutlineSymbols="false" defaultGridColor="true" view="normal" topLeftCell="A1" colorId="64" zoomScale="68" zoomScaleNormal="68" zoomScalePageLayoutView="100" workbookViewId="0">
      <selection pane="topLeft" activeCell="A1" activeCellId="0" sqref="A1"/>
    </sheetView>
  </sheetViews>
  <sheetFormatPr defaultColWidth="19.43359375" defaultRowHeight="12.8" zeroHeight="false" outlineLevelRow="0" outlineLevelCol="0"/>
  <cols>
    <col collapsed="false" customWidth="true" hidden="false" outlineLevel="0" max="5" min="5" style="4" width="12.15"/>
  </cols>
  <sheetData>
    <row r="1" customFormat="false" ht="17.3" hidden="false" customHeight="true" outlineLevel="0" collapsed="false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</row>
    <row r="2" customFormat="false" ht="17.3" hidden="false" customHeight="true" outlineLevel="0" collapsed="false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2"/>
      <c r="Q2" s="122"/>
      <c r="R2" s="122"/>
      <c r="S2" s="122"/>
    </row>
    <row r="3" customFormat="false" ht="17.3" hidden="false" customHeight="true" outlineLevel="0" collapsed="false">
      <c r="A3" s="123"/>
      <c r="B3" s="272" t="s">
        <v>270</v>
      </c>
      <c r="C3" s="272"/>
      <c r="D3" s="272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2"/>
      <c r="Q3" s="122"/>
      <c r="R3" s="122"/>
      <c r="S3" s="122"/>
    </row>
    <row r="4" customFormat="false" ht="17.3" hidden="false" customHeight="true" outlineLevel="0" collapsed="false">
      <c r="A4" s="123"/>
      <c r="B4" s="272"/>
      <c r="C4" s="272"/>
      <c r="D4" s="27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2"/>
      <c r="Q4" s="122"/>
      <c r="R4" s="122"/>
      <c r="S4" s="122"/>
    </row>
    <row r="5" customFormat="false" ht="17.3" hidden="false" customHeight="true" outlineLevel="0" collapsed="false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2"/>
      <c r="Q5" s="122"/>
      <c r="R5" s="122"/>
      <c r="S5" s="122"/>
    </row>
    <row r="6" customFormat="false" ht="17.3" hidden="false" customHeight="true" outlineLevel="0" collapsed="false">
      <c r="A6" s="133"/>
      <c r="B6" s="133" t="s">
        <v>255</v>
      </c>
      <c r="C6" s="133" t="s">
        <v>262</v>
      </c>
      <c r="D6" s="133" t="s">
        <v>255</v>
      </c>
      <c r="E6" s="133"/>
      <c r="F6" s="274"/>
      <c r="G6" s="274"/>
      <c r="H6" s="274"/>
      <c r="I6" s="274"/>
      <c r="J6" s="274"/>
      <c r="K6" s="274"/>
      <c r="L6" s="133"/>
      <c r="M6" s="133" t="s">
        <v>263</v>
      </c>
      <c r="N6" s="133" t="s">
        <v>271</v>
      </c>
      <c r="O6" s="133"/>
      <c r="P6" s="122"/>
      <c r="Q6" s="122"/>
      <c r="R6" s="122"/>
      <c r="S6" s="122"/>
    </row>
    <row r="7" customFormat="false" ht="17.3" hidden="false" customHeight="true" outlineLevel="0" collapsed="false">
      <c r="A7" s="133"/>
      <c r="B7" s="133" t="s">
        <v>272</v>
      </c>
      <c r="C7" s="133" t="s">
        <v>266</v>
      </c>
      <c r="D7" s="133" t="str">
        <f aca="false">"for " &amp;C9 &amp;"%"</f>
        <v>for 10%</v>
      </c>
      <c r="E7" s="133"/>
      <c r="F7" s="274" t="s">
        <v>253</v>
      </c>
      <c r="G7" s="274" t="s">
        <v>254</v>
      </c>
      <c r="H7" s="274" t="s">
        <v>255</v>
      </c>
      <c r="I7" s="274" t="s">
        <v>256</v>
      </c>
      <c r="J7" s="274" t="s">
        <v>257</v>
      </c>
      <c r="K7" s="274" t="s">
        <v>258</v>
      </c>
      <c r="L7" s="133" t="s">
        <v>260</v>
      </c>
      <c r="M7" s="133" t="s">
        <v>273</v>
      </c>
      <c r="N7" s="133" t="s">
        <v>273</v>
      </c>
      <c r="O7" s="133" t="s">
        <v>268</v>
      </c>
      <c r="P7" s="275" t="s">
        <v>269</v>
      </c>
      <c r="Q7" s="122"/>
      <c r="R7" s="122"/>
      <c r="S7" s="122"/>
    </row>
    <row r="8" customFormat="false" ht="17.3" hidden="false" customHeight="true" outlineLevel="0" collapsed="false">
      <c r="A8" s="133"/>
      <c r="B8" s="133"/>
      <c r="C8" s="133"/>
      <c r="D8" s="133"/>
      <c r="E8" s="133"/>
      <c r="F8" s="274"/>
      <c r="G8" s="274"/>
      <c r="H8" s="274"/>
      <c r="I8" s="274"/>
      <c r="J8" s="274"/>
      <c r="K8" s="274"/>
      <c r="L8" s="133"/>
      <c r="M8" s="133"/>
      <c r="N8" s="133"/>
      <c r="O8" s="133"/>
      <c r="P8" s="122"/>
      <c r="Q8" s="122"/>
      <c r="R8" s="122"/>
      <c r="S8" s="122"/>
    </row>
    <row r="9" customFormat="false" ht="17.3" hidden="false" customHeight="true" outlineLevel="0" collapsed="false">
      <c r="A9" s="133"/>
      <c r="B9" s="142" t="n">
        <f aca="false">'Mash pH'!L19</f>
        <v>34.3324856777016</v>
      </c>
      <c r="C9" s="133" t="n">
        <f aca="false">'Phosphoric Acid %'!I13</f>
        <v>10</v>
      </c>
      <c r="D9" s="142" t="n">
        <f aca="false">B9*O9/O10</f>
        <v>34.3324856777016</v>
      </c>
      <c r="E9" s="133"/>
      <c r="F9" s="274" t="n">
        <v>10</v>
      </c>
      <c r="G9" s="274" t="n">
        <f aca="false">1.00138601317687+0.00477446729013974*F9+0.0000389496375751023*F9^2</f>
        <v>1.05302564983578</v>
      </c>
      <c r="H9" s="274" t="n">
        <v>1000</v>
      </c>
      <c r="I9" s="274" t="n">
        <f aca="false">H9*G9</f>
        <v>1053.02564983578</v>
      </c>
      <c r="J9" s="274" t="n">
        <f aca="false">I9*F9/100</f>
        <v>105.302564983578</v>
      </c>
      <c r="K9" s="274" t="n">
        <v>97.995181</v>
      </c>
      <c r="L9" s="274" t="n">
        <f aca="false">2*J9/K9</f>
        <v>2.14913761899328</v>
      </c>
      <c r="M9" s="274" t="n">
        <f aca="false">1-1/(1+10^('Mash pH'!H17-2.16))</f>
        <v>0.999424891003348</v>
      </c>
      <c r="N9" s="274" t="n">
        <f aca="false">1-1/(1+10^('Mash pH'!H17-7.21))</f>
        <v>0.0152519415831778</v>
      </c>
      <c r="O9" s="274" t="n">
        <f aca="false">((L9*M9)+(L9*N9))/2</f>
        <v>1.09034007601632</v>
      </c>
      <c r="P9" s="275"/>
      <c r="Q9" s="122"/>
      <c r="R9" s="122"/>
      <c r="S9" s="122"/>
    </row>
    <row r="10" customFormat="false" ht="17.3" hidden="false" customHeight="true" outlineLevel="0" collapsed="false">
      <c r="A10" s="133"/>
      <c r="B10" s="133"/>
      <c r="C10" s="133"/>
      <c r="D10" s="133"/>
      <c r="E10" s="133"/>
      <c r="F10" s="274" t="n">
        <f aca="false">C9</f>
        <v>10</v>
      </c>
      <c r="G10" s="274" t="n">
        <f aca="false">1.00138601317687+0.00477446729013974*F10+0.0000389496375751023*F10^2</f>
        <v>1.05302564983578</v>
      </c>
      <c r="H10" s="274" t="n">
        <v>1000</v>
      </c>
      <c r="I10" s="274" t="n">
        <f aca="false">H10*G10</f>
        <v>1053.02564983578</v>
      </c>
      <c r="J10" s="274" t="n">
        <f aca="false">I10*F10/100</f>
        <v>105.302564983578</v>
      </c>
      <c r="K10" s="274" t="n">
        <v>97.995181</v>
      </c>
      <c r="L10" s="274" t="n">
        <f aca="false">2*J10/K10</f>
        <v>2.14913761899328</v>
      </c>
      <c r="M10" s="274" t="n">
        <f aca="false">1-1/(1+10^('Mash pH'!H17-2.16))</f>
        <v>0.999424891003348</v>
      </c>
      <c r="N10" s="274" t="n">
        <f aca="false">1-1/(1+10^('Mash pH'!H17-7.21))</f>
        <v>0.0152519415831778</v>
      </c>
      <c r="O10" s="274" t="n">
        <f aca="false">((L10*M10)+(L10*N10))/2</f>
        <v>1.09034007601632</v>
      </c>
      <c r="P10" s="275" t="n">
        <f aca="false">IF(D9/B9&lt;&gt;0,D9/B9,1)</f>
        <v>1</v>
      </c>
      <c r="Q10" s="122"/>
      <c r="R10" s="122"/>
      <c r="S10" s="122"/>
    </row>
  </sheetData>
  <sheetProtection sheet="true" objects="true" scenarios="true"/>
  <mergeCells count="1">
    <mergeCell ref="B3:D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1:M66"/>
  <sheetViews>
    <sheetView showFormulas="false" showGridLines="false" showRowColHeaders="false" showZeros="true" rightToLeft="false" tabSelected="false" showOutlineSymbols="false" defaultGridColor="true" view="normal" topLeftCell="A1" colorId="64" zoomScale="82" zoomScaleNormal="82" zoomScalePageLayoutView="100" workbookViewId="0">
      <selection pane="topLeft" activeCell="D10" activeCellId="0" sqref="D10"/>
    </sheetView>
  </sheetViews>
  <sheetFormatPr defaultColWidth="11.35546875" defaultRowHeight="17.35" zeroHeight="false" outlineLevelRow="0" outlineLevelCol="0"/>
  <cols>
    <col collapsed="false" customWidth="false" hidden="false" outlineLevel="0" max="1" min="1" style="267" width="11.34"/>
    <col collapsed="false" customWidth="true" hidden="false" outlineLevel="0" max="4" min="2" style="277" width="18.49"/>
    <col collapsed="false" customWidth="true" hidden="false" outlineLevel="0" max="5" min="5" style="277" width="24.57"/>
    <col collapsed="false" customWidth="true" hidden="false" outlineLevel="0" max="6" min="6" style="277" width="18.49"/>
    <col collapsed="false" customWidth="true" hidden="false" outlineLevel="0" max="7" min="7" style="277" width="15.12"/>
    <col collapsed="false" customWidth="true" hidden="false" outlineLevel="0" max="8" min="8" style="277" width="13.36"/>
    <col collapsed="false" customWidth="true" hidden="false" outlineLevel="0" max="9" min="9" style="277" width="15.27"/>
    <col collapsed="false" customWidth="true" hidden="false" outlineLevel="0" max="10" min="10" style="277" width="14.69"/>
    <col collapsed="false" customWidth="false" hidden="false" outlineLevel="0" max="11" min="11" style="278" width="11.34"/>
    <col collapsed="false" customWidth="true" hidden="false" outlineLevel="0" max="13" min="12" style="279" width="18.49"/>
    <col collapsed="false" customWidth="true" hidden="false" outlineLevel="0" max="23" min="14" style="277" width="18.49"/>
    <col collapsed="false" customWidth="false" hidden="false" outlineLevel="0" max="1024" min="24" style="277" width="11.34"/>
  </cols>
  <sheetData>
    <row r="1" customFormat="false" ht="19.7" hidden="false" customHeight="true" outlineLevel="0" collapsed="false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customFormat="false" ht="19.7" hidden="false" customHeight="true" outlineLevel="0" collapsed="false">
      <c r="B2" s="4"/>
      <c r="C2" s="4"/>
      <c r="D2" s="280" t="s">
        <v>274</v>
      </c>
      <c r="E2" s="280"/>
      <c r="F2" s="280"/>
      <c r="G2" s="4"/>
      <c r="H2" s="4"/>
      <c r="I2" s="4"/>
      <c r="J2" s="4"/>
      <c r="K2" s="4"/>
      <c r="L2" s="4"/>
      <c r="M2" s="4"/>
    </row>
    <row r="3" customFormat="false" ht="19.7" hidden="false" customHeight="true" outlineLevel="0" collapsed="false">
      <c r="B3" s="4"/>
      <c r="C3" s="4"/>
      <c r="D3" s="280"/>
      <c r="E3" s="280"/>
      <c r="F3" s="280"/>
      <c r="G3" s="4"/>
      <c r="H3" s="4"/>
      <c r="I3" s="4"/>
      <c r="J3" s="4"/>
      <c r="K3" s="4"/>
      <c r="L3" s="4"/>
      <c r="M3" s="4"/>
    </row>
    <row r="4" customFormat="false" ht="19.7" hidden="false" customHeight="true" outlineLevel="0" collapsed="false">
      <c r="B4" s="4"/>
      <c r="C4" s="4"/>
      <c r="D4" s="4"/>
      <c r="E4" s="196" t="s">
        <v>275</v>
      </c>
      <c r="F4" s="196" t="s">
        <v>276</v>
      </c>
      <c r="G4" s="4"/>
      <c r="H4" s="4"/>
      <c r="I4" s="4"/>
      <c r="J4" s="4"/>
      <c r="K4" s="4"/>
      <c r="L4" s="4"/>
      <c r="M4" s="4"/>
    </row>
    <row r="5" customFormat="false" ht="19.7" hidden="false" customHeight="true" outlineLevel="0" collapsed="false">
      <c r="B5" s="4"/>
      <c r="C5" s="4"/>
      <c r="D5" s="196" t="s">
        <v>109</v>
      </c>
      <c r="E5" s="196" t="s">
        <v>277</v>
      </c>
      <c r="F5" s="196" t="s">
        <v>278</v>
      </c>
      <c r="G5" s="4"/>
      <c r="H5" s="196" t="s">
        <v>276</v>
      </c>
      <c r="I5" s="4"/>
      <c r="J5" s="4"/>
      <c r="K5" s="4"/>
      <c r="L5" s="4"/>
      <c r="M5" s="4"/>
    </row>
    <row r="6" customFormat="false" ht="19.7" hidden="false" customHeight="true" outlineLevel="0" collapsed="false">
      <c r="B6" s="4"/>
      <c r="C6" s="4"/>
      <c r="D6" s="196" t="s">
        <v>279</v>
      </c>
      <c r="E6" s="196" t="s">
        <v>253</v>
      </c>
      <c r="F6" s="196" t="s">
        <v>280</v>
      </c>
      <c r="G6" s="196" t="s">
        <v>281</v>
      </c>
      <c r="H6" s="196" t="s">
        <v>13</v>
      </c>
      <c r="I6" s="196" t="s">
        <v>282</v>
      </c>
      <c r="J6" s="196" t="s">
        <v>282</v>
      </c>
      <c r="K6" s="4"/>
      <c r="L6" s="281" t="s">
        <v>283</v>
      </c>
      <c r="M6" s="282" t="n">
        <v>0.7</v>
      </c>
    </row>
    <row r="7" customFormat="false" ht="19.7" hidden="false" customHeight="true" outlineLevel="0" collapsed="false">
      <c r="B7" s="4"/>
      <c r="C7" s="4"/>
      <c r="D7" s="196" t="s">
        <v>284</v>
      </c>
      <c r="E7" s="196" t="s">
        <v>285</v>
      </c>
      <c r="F7" s="196" t="s">
        <v>286</v>
      </c>
      <c r="G7" s="196" t="s">
        <v>287</v>
      </c>
      <c r="H7" s="196" t="s">
        <v>288</v>
      </c>
      <c r="I7" s="196" t="s">
        <v>289</v>
      </c>
      <c r="J7" s="196" t="s">
        <v>289</v>
      </c>
      <c r="K7" s="4"/>
      <c r="L7" s="281" t="s">
        <v>290</v>
      </c>
      <c r="M7" s="282" t="n">
        <f aca="false">ROUND(M6+0.005,3)</f>
        <v>0.705</v>
      </c>
    </row>
    <row r="8" customFormat="false" ht="19.7" hidden="false" customHeight="true" outlineLevel="0" collapsed="false">
      <c r="B8" s="4"/>
      <c r="C8" s="4"/>
      <c r="D8" s="283" t="s">
        <v>201</v>
      </c>
      <c r="E8" s="283" t="s">
        <v>201</v>
      </c>
      <c r="F8" s="196" t="s">
        <v>291</v>
      </c>
      <c r="G8" s="196" t="s">
        <v>13</v>
      </c>
      <c r="H8" s="196" t="s">
        <v>255</v>
      </c>
      <c r="I8" s="196" t="s">
        <v>292</v>
      </c>
      <c r="J8" s="196" t="s">
        <v>293</v>
      </c>
      <c r="K8" s="4"/>
      <c r="L8" s="4"/>
      <c r="M8" s="282" t="n">
        <f aca="false">ROUND(M7+0.005,3)</f>
        <v>0.71</v>
      </c>
    </row>
    <row r="9" customFormat="false" ht="18.75" hidden="false" customHeight="true" outlineLevel="0" collapsed="false">
      <c r="B9" s="4"/>
      <c r="C9" s="4"/>
      <c r="D9" s="284"/>
      <c r="E9" s="284"/>
      <c r="F9" s="284"/>
      <c r="G9" s="284"/>
      <c r="H9" s="284"/>
      <c r="I9" s="284"/>
      <c r="J9" s="284"/>
      <c r="K9" s="285"/>
      <c r="L9" s="4"/>
      <c r="M9" s="282" t="n">
        <f aca="false">ROUND(M8+0.005,3)</f>
        <v>0.715</v>
      </c>
    </row>
    <row r="10" customFormat="false" ht="19.7" hidden="false" customHeight="true" outlineLevel="0" collapsed="false">
      <c r="B10" s="4"/>
      <c r="C10" s="4"/>
      <c r="D10" s="270" t="s">
        <v>283</v>
      </c>
      <c r="E10" s="286" t="n">
        <v>0.755</v>
      </c>
      <c r="F10" s="287" t="n">
        <v>1.077</v>
      </c>
      <c r="G10" s="288" t="n">
        <f aca="false">IF(D10="Prills/Crystal",'Mash pH'!N6*E10,'Mash pH'!N6*H10)</f>
        <v>3.3975</v>
      </c>
      <c r="H10" s="288" t="n">
        <f aca="false">(-684.57+175.12*F10+509.45*F10^2)/1000</f>
        <v>0.0949600690499999</v>
      </c>
      <c r="I10" s="289" t="n">
        <f aca="false">IF(D10="Prills/Crystal",95.36*G10/'Mash pH'!M14,(0.361380604*G10/('Mash pH'!M14*3.7854))*1000)</f>
        <v>36.4028764044944</v>
      </c>
      <c r="J10" s="289" t="n">
        <f aca="false">IF(D10="Prills/Crystal",168.764*G10/'Mash pH'!M14,(0.638619396*G10/('Mash pH'!M14*3.7854))*1000)</f>
        <v>64.4242348314607</v>
      </c>
      <c r="K10" s="290"/>
      <c r="L10" s="4"/>
      <c r="M10" s="282" t="n">
        <f aca="false">ROUND(M9+0.005,3)</f>
        <v>0.72</v>
      </c>
    </row>
    <row r="11" customFormat="false" ht="19.7" hidden="false" customHeight="true" outlineLevel="0" collapsed="false">
      <c r="B11" s="4"/>
      <c r="C11" s="4"/>
      <c r="D11" s="4"/>
      <c r="E11" s="4"/>
      <c r="F11" s="4"/>
      <c r="G11" s="291" t="n">
        <f aca="false">IF(D10="Prills/Crystal",'Mash pH'!N10*E10,'Mash pH'!N10*H10)</f>
        <v>0</v>
      </c>
      <c r="H11" s="5"/>
      <c r="I11" s="291" t="e">
        <f aca="false">IF(D10="Prills/Crystal",95.36*G11/'Mash pH'!N14,(0.361380604*G11/('Mash pH'!N14*3.7854))*1000)</f>
        <v>#DIV/0!</v>
      </c>
      <c r="J11" s="291" t="e">
        <f aca="false">IF(D10="Prills/Crystal",168.764*G11/'Mash pH'!N14,(0.638619396*G11/('Mash pH'!N14*3.7854))*1000)</f>
        <v>#DIV/0!</v>
      </c>
      <c r="K11" s="4"/>
      <c r="L11" s="4"/>
      <c r="M11" s="282" t="n">
        <f aca="false">ROUND(M10+0.005,3)</f>
        <v>0.725</v>
      </c>
    </row>
    <row r="12" customFormat="false" ht="19.7" hidden="false" customHeight="true" outlineLevel="0" collapsed="false">
      <c r="B12" s="4"/>
      <c r="C12" s="4"/>
      <c r="D12" s="292"/>
      <c r="E12" s="293" t="s">
        <v>294</v>
      </c>
      <c r="F12" s="294"/>
      <c r="G12" s="4"/>
      <c r="H12" s="4"/>
      <c r="I12" s="4"/>
      <c r="J12" s="4"/>
      <c r="K12" s="4"/>
      <c r="L12" s="4"/>
      <c r="M12" s="282" t="n">
        <f aca="false">ROUND(M11+0.005,3)</f>
        <v>0.73</v>
      </c>
    </row>
    <row r="13" customFormat="false" ht="19.7" hidden="false" customHeight="true" outlineLevel="0" collapsed="false">
      <c r="B13" s="4"/>
      <c r="C13" s="4"/>
      <c r="D13" s="295"/>
      <c r="E13" s="296" t="s">
        <v>295</v>
      </c>
      <c r="F13" s="297"/>
      <c r="G13" s="4"/>
      <c r="H13" s="4"/>
      <c r="I13" s="298" t="s">
        <v>75</v>
      </c>
      <c r="J13" s="298"/>
      <c r="K13" s="4"/>
      <c r="L13" s="4"/>
      <c r="M13" s="282" t="n">
        <f aca="false">ROUND(M12+0.005,3)</f>
        <v>0.735</v>
      </c>
    </row>
    <row r="14" customFormat="false" ht="19.7" hidden="false" customHeight="true" outlineLevel="0" collapsed="false">
      <c r="B14" s="4"/>
      <c r="C14" s="4"/>
      <c r="D14" s="299"/>
      <c r="E14" s="300" t="s">
        <v>296</v>
      </c>
      <c r="F14" s="301"/>
      <c r="G14" s="4"/>
      <c r="H14" s="4"/>
      <c r="I14" s="302" t="s">
        <v>297</v>
      </c>
      <c r="J14" s="302"/>
      <c r="K14" s="4"/>
      <c r="L14" s="4"/>
      <c r="M14" s="282" t="n">
        <f aca="false">ROUND(M13+0.005,3)</f>
        <v>0.74</v>
      </c>
    </row>
    <row r="15" customFormat="false" ht="19.7" hidden="false" customHeight="true" outlineLevel="0" collapsed="false">
      <c r="B15" s="4"/>
      <c r="C15" s="4"/>
      <c r="D15" s="299"/>
      <c r="E15" s="300" t="s">
        <v>298</v>
      </c>
      <c r="F15" s="301"/>
      <c r="G15" s="4"/>
      <c r="H15" s="4"/>
      <c r="I15" s="303" t="s">
        <v>299</v>
      </c>
      <c r="J15" s="303"/>
      <c r="K15" s="4"/>
      <c r="L15" s="4"/>
      <c r="M15" s="282" t="n">
        <f aca="false">ROUND(M14+0.005,3)</f>
        <v>0.745</v>
      </c>
    </row>
    <row r="16" customFormat="false" ht="19.7" hidden="false" customHeight="true" outlineLevel="0" collapsed="false">
      <c r="B16" s="4"/>
      <c r="C16" s="4"/>
      <c r="D16" s="304"/>
      <c r="E16" s="305" t="s">
        <v>300</v>
      </c>
      <c r="F16" s="306"/>
      <c r="G16" s="4"/>
      <c r="H16" s="4"/>
      <c r="I16" s="307" t="s">
        <v>84</v>
      </c>
      <c r="J16" s="307"/>
      <c r="K16" s="4"/>
      <c r="L16" s="4"/>
      <c r="M16" s="282" t="n">
        <f aca="false">ROUND(M15+0.005,3)</f>
        <v>0.75</v>
      </c>
    </row>
    <row r="17" customFormat="false" ht="19.7" hidden="false" customHeight="true" outlineLevel="0" collapsed="false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282" t="n">
        <f aca="false">ROUND(M16+0.005,3)</f>
        <v>0.755</v>
      </c>
    </row>
    <row r="18" customFormat="false" ht="19.7" hidden="false" customHeight="true" outlineLevel="0" collapsed="false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282" t="n">
        <f aca="false">ROUND(M17+0.005,3)</f>
        <v>0.76</v>
      </c>
    </row>
    <row r="19" customFormat="false" ht="19.7" hidden="false" customHeight="true" outlineLevel="0" collapsed="false">
      <c r="B19" s="308" t="s">
        <v>301</v>
      </c>
      <c r="C19" s="308"/>
      <c r="D19" s="308"/>
      <c r="E19" s="308"/>
      <c r="F19" s="308"/>
      <c r="G19" s="308"/>
      <c r="H19" s="308"/>
      <c r="I19" s="308"/>
      <c r="J19" s="308"/>
      <c r="K19" s="308"/>
      <c r="L19" s="308"/>
      <c r="M19" s="282" t="n">
        <f aca="false">ROUND(M18+0.005,3)</f>
        <v>0.765</v>
      </c>
    </row>
    <row r="20" customFormat="false" ht="19.7" hidden="false" customHeight="true" outlineLevel="0" collapsed="false">
      <c r="B20" s="308"/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282" t="n">
        <f aca="false">ROUND(M19+0.005,3)</f>
        <v>0.77</v>
      </c>
    </row>
    <row r="21" customFormat="false" ht="19.7" hidden="false" customHeight="true" outlineLevel="0" collapsed="false">
      <c r="M21" s="282" t="n">
        <f aca="false">ROUND(M20+0.005,3)</f>
        <v>0.775</v>
      </c>
    </row>
    <row r="22" customFormat="false" ht="19.7" hidden="false" customHeight="true" outlineLevel="0" collapsed="false">
      <c r="M22" s="282" t="n">
        <f aca="false">ROUND(M21+0.005,3)</f>
        <v>0.78</v>
      </c>
    </row>
    <row r="23" customFormat="false" ht="19.7" hidden="false" customHeight="true" outlineLevel="0" collapsed="false">
      <c r="M23" s="282" t="n">
        <f aca="false">ROUND(M22+0.005,3)</f>
        <v>0.785</v>
      </c>
    </row>
    <row r="24" customFormat="false" ht="19.7" hidden="false" customHeight="true" outlineLevel="0" collapsed="false">
      <c r="M24" s="282" t="n">
        <f aca="false">ROUND(M23+0.005,3)</f>
        <v>0.79</v>
      </c>
    </row>
    <row r="25" customFormat="false" ht="19.7" hidden="false" customHeight="true" outlineLevel="0" collapsed="false">
      <c r="M25" s="282" t="n">
        <f aca="false">ROUND(M24+0.005,3)</f>
        <v>0.795</v>
      </c>
    </row>
    <row r="26" customFormat="false" ht="19.7" hidden="false" customHeight="true" outlineLevel="0" collapsed="false">
      <c r="M26" s="282" t="n">
        <f aca="false">ROUND(M25+0.005,3)</f>
        <v>0.8</v>
      </c>
    </row>
    <row r="27" customFormat="false" ht="19.7" hidden="false" customHeight="true" outlineLevel="0" collapsed="false">
      <c r="M27" s="282" t="n">
        <f aca="false">ROUND(M26+0.005,3)</f>
        <v>0.805</v>
      </c>
    </row>
    <row r="28" customFormat="false" ht="19.7" hidden="false" customHeight="true" outlineLevel="0" collapsed="false">
      <c r="M28" s="282" t="n">
        <f aca="false">ROUND(M27+0.005,3)</f>
        <v>0.81</v>
      </c>
    </row>
    <row r="29" customFormat="false" ht="19.7" hidden="false" customHeight="true" outlineLevel="0" collapsed="false">
      <c r="M29" s="282" t="n">
        <f aca="false">ROUND(M28+0.005,3)</f>
        <v>0.815</v>
      </c>
    </row>
    <row r="30" customFormat="false" ht="19.7" hidden="false" customHeight="true" outlineLevel="0" collapsed="false">
      <c r="M30" s="282" t="n">
        <f aca="false">ROUND(M29+0.005,3)</f>
        <v>0.82</v>
      </c>
    </row>
    <row r="31" customFormat="false" ht="19.7" hidden="false" customHeight="true" outlineLevel="0" collapsed="false">
      <c r="M31" s="282" t="n">
        <f aca="false">ROUND(M30+0.005,3)</f>
        <v>0.825</v>
      </c>
    </row>
    <row r="32" customFormat="false" ht="19.7" hidden="false" customHeight="true" outlineLevel="0" collapsed="false">
      <c r="M32" s="282" t="n">
        <f aca="false">ROUND(M31+0.005,3)</f>
        <v>0.83</v>
      </c>
    </row>
    <row r="33" customFormat="false" ht="19.7" hidden="false" customHeight="true" outlineLevel="0" collapsed="false">
      <c r="M33" s="282" t="n">
        <f aca="false">ROUND(M32+0.005,3)</f>
        <v>0.835</v>
      </c>
    </row>
    <row r="34" customFormat="false" ht="19.7" hidden="false" customHeight="true" outlineLevel="0" collapsed="false">
      <c r="M34" s="282" t="n">
        <f aca="false">ROUND(M33+0.005,3)</f>
        <v>0.84</v>
      </c>
    </row>
    <row r="35" customFormat="false" ht="19.7" hidden="false" customHeight="true" outlineLevel="0" collapsed="false">
      <c r="M35" s="282" t="n">
        <f aca="false">ROUND(M34+0.005,3)</f>
        <v>0.845</v>
      </c>
    </row>
    <row r="36" customFormat="false" ht="19.7" hidden="false" customHeight="true" outlineLevel="0" collapsed="false">
      <c r="M36" s="282" t="n">
        <f aca="false">ROUND(M35+0.005,3)</f>
        <v>0.85</v>
      </c>
    </row>
    <row r="37" customFormat="false" ht="19.7" hidden="false" customHeight="true" outlineLevel="0" collapsed="false">
      <c r="M37" s="282" t="n">
        <f aca="false">ROUND(M36+0.005,3)</f>
        <v>0.855</v>
      </c>
    </row>
    <row r="38" customFormat="false" ht="17.35" hidden="false" customHeight="false" outlineLevel="0" collapsed="false">
      <c r="M38" s="282" t="n">
        <f aca="false">ROUND(M37+0.005,3)</f>
        <v>0.86</v>
      </c>
    </row>
    <row r="39" customFormat="false" ht="17.35" hidden="false" customHeight="false" outlineLevel="0" collapsed="false">
      <c r="M39" s="282" t="n">
        <f aca="false">ROUND(M38+0.005,3)</f>
        <v>0.865</v>
      </c>
    </row>
    <row r="40" customFormat="false" ht="17.35" hidden="false" customHeight="false" outlineLevel="0" collapsed="false">
      <c r="M40" s="282" t="n">
        <f aca="false">ROUND(M39+0.005,3)</f>
        <v>0.87</v>
      </c>
    </row>
    <row r="41" customFormat="false" ht="17.35" hidden="false" customHeight="false" outlineLevel="0" collapsed="false">
      <c r="M41" s="282" t="n">
        <f aca="false">ROUND(M40+0.005,3)</f>
        <v>0.875</v>
      </c>
    </row>
    <row r="42" customFormat="false" ht="17.35" hidden="false" customHeight="false" outlineLevel="0" collapsed="false">
      <c r="M42" s="282" t="n">
        <f aca="false">ROUND(M41+0.005,3)</f>
        <v>0.88</v>
      </c>
    </row>
    <row r="43" customFormat="false" ht="17.35" hidden="false" customHeight="false" outlineLevel="0" collapsed="false">
      <c r="M43" s="282" t="n">
        <f aca="false">ROUND(M42+0.005,3)</f>
        <v>0.885</v>
      </c>
    </row>
    <row r="44" customFormat="false" ht="17.35" hidden="false" customHeight="false" outlineLevel="0" collapsed="false">
      <c r="M44" s="282" t="n">
        <f aca="false">ROUND(M43+0.005,3)</f>
        <v>0.89</v>
      </c>
    </row>
    <row r="45" customFormat="false" ht="17.35" hidden="false" customHeight="false" outlineLevel="0" collapsed="false">
      <c r="M45" s="282" t="n">
        <f aca="false">ROUND(M44+0.005,3)</f>
        <v>0.895</v>
      </c>
    </row>
    <row r="46" customFormat="false" ht="17.35" hidden="false" customHeight="false" outlineLevel="0" collapsed="false">
      <c r="M46" s="282" t="n">
        <f aca="false">ROUND(M45+0.005,3)</f>
        <v>0.9</v>
      </c>
    </row>
    <row r="47" customFormat="false" ht="17.35" hidden="false" customHeight="false" outlineLevel="0" collapsed="false">
      <c r="M47" s="282" t="n">
        <f aca="false">ROUND(M46+0.005,3)</f>
        <v>0.905</v>
      </c>
    </row>
    <row r="48" customFormat="false" ht="17.35" hidden="false" customHeight="false" outlineLevel="0" collapsed="false">
      <c r="M48" s="282" t="n">
        <f aca="false">ROUND(M47+0.005,3)</f>
        <v>0.91</v>
      </c>
    </row>
    <row r="49" customFormat="false" ht="17.35" hidden="false" customHeight="false" outlineLevel="0" collapsed="false">
      <c r="M49" s="282" t="n">
        <f aca="false">ROUND(M48+0.005,3)</f>
        <v>0.915</v>
      </c>
    </row>
    <row r="50" customFormat="false" ht="17.35" hidden="false" customHeight="false" outlineLevel="0" collapsed="false">
      <c r="M50" s="282" t="n">
        <f aca="false">ROUND(M49+0.005,3)</f>
        <v>0.92</v>
      </c>
    </row>
    <row r="51" customFormat="false" ht="17.35" hidden="false" customHeight="false" outlineLevel="0" collapsed="false">
      <c r="M51" s="282" t="n">
        <f aca="false">ROUND(M50+0.005,3)</f>
        <v>0.925</v>
      </c>
    </row>
    <row r="52" customFormat="false" ht="17.35" hidden="false" customHeight="false" outlineLevel="0" collapsed="false">
      <c r="M52" s="282" t="n">
        <f aca="false">ROUND(M51+0.005,3)</f>
        <v>0.93</v>
      </c>
    </row>
    <row r="53" customFormat="false" ht="17.35" hidden="false" customHeight="false" outlineLevel="0" collapsed="false">
      <c r="M53" s="282" t="n">
        <f aca="false">ROUND(M52+0.005,3)</f>
        <v>0.935</v>
      </c>
    </row>
    <row r="54" customFormat="false" ht="17.35" hidden="false" customHeight="false" outlineLevel="0" collapsed="false">
      <c r="M54" s="282" t="n">
        <f aca="false">ROUND(M53+0.005,3)</f>
        <v>0.94</v>
      </c>
    </row>
    <row r="55" customFormat="false" ht="17.35" hidden="false" customHeight="false" outlineLevel="0" collapsed="false">
      <c r="M55" s="282" t="n">
        <f aca="false">ROUND(M54+0.005,3)</f>
        <v>0.945</v>
      </c>
    </row>
    <row r="56" customFormat="false" ht="17.35" hidden="false" customHeight="false" outlineLevel="0" collapsed="false">
      <c r="M56" s="282" t="n">
        <f aca="false">ROUND(M55+0.005,3)</f>
        <v>0.95</v>
      </c>
    </row>
    <row r="57" customFormat="false" ht="17.35" hidden="false" customHeight="false" outlineLevel="0" collapsed="false">
      <c r="M57" s="282" t="n">
        <f aca="false">ROUND(M56+0.005,3)</f>
        <v>0.955</v>
      </c>
    </row>
    <row r="58" customFormat="false" ht="17.35" hidden="false" customHeight="false" outlineLevel="0" collapsed="false">
      <c r="M58" s="282" t="n">
        <f aca="false">ROUND(M57+0.005,3)</f>
        <v>0.96</v>
      </c>
    </row>
    <row r="59" customFormat="false" ht="17.35" hidden="false" customHeight="false" outlineLevel="0" collapsed="false">
      <c r="M59" s="282" t="n">
        <f aca="false">ROUND(M58+0.005,3)</f>
        <v>0.965</v>
      </c>
    </row>
    <row r="60" customFormat="false" ht="17.35" hidden="false" customHeight="false" outlineLevel="0" collapsed="false">
      <c r="M60" s="282" t="n">
        <f aca="false">ROUND(M59+0.005,3)</f>
        <v>0.97</v>
      </c>
    </row>
    <row r="61" customFormat="false" ht="17.35" hidden="false" customHeight="false" outlineLevel="0" collapsed="false">
      <c r="M61" s="282" t="n">
        <f aca="false">ROUND(M60+0.005,3)</f>
        <v>0.975</v>
      </c>
    </row>
    <row r="62" customFormat="false" ht="17.35" hidden="false" customHeight="false" outlineLevel="0" collapsed="false">
      <c r="M62" s="282" t="n">
        <f aca="false">ROUND(M61+0.005,3)</f>
        <v>0.98</v>
      </c>
    </row>
    <row r="63" customFormat="false" ht="17.35" hidden="false" customHeight="false" outlineLevel="0" collapsed="false">
      <c r="M63" s="282" t="n">
        <f aca="false">ROUND(M62+0.005,3)</f>
        <v>0.985</v>
      </c>
    </row>
    <row r="64" customFormat="false" ht="17.35" hidden="false" customHeight="false" outlineLevel="0" collapsed="false">
      <c r="M64" s="282" t="n">
        <f aca="false">ROUND(M63+0.005,3)</f>
        <v>0.99</v>
      </c>
    </row>
    <row r="65" customFormat="false" ht="17.35" hidden="false" customHeight="false" outlineLevel="0" collapsed="false">
      <c r="M65" s="282" t="n">
        <f aca="false">ROUND(M64+0.005,3)</f>
        <v>0.995</v>
      </c>
    </row>
    <row r="66" customFormat="false" ht="17.35" hidden="false" customHeight="false" outlineLevel="0" collapsed="false">
      <c r="M66" s="282" t="n">
        <f aca="false">ROUND(M65+0.005,3)</f>
        <v>1</v>
      </c>
    </row>
  </sheetData>
  <sheetProtection sheet="true" password="d3f5" objects="true" scenarios="true" selectLockedCells="true"/>
  <mergeCells count="6">
    <mergeCell ref="D2:F3"/>
    <mergeCell ref="I13:J13"/>
    <mergeCell ref="I14:J14"/>
    <mergeCell ref="I15:J15"/>
    <mergeCell ref="I16:J16"/>
    <mergeCell ref="B19:L20"/>
  </mergeCells>
  <dataValidations count="2">
    <dataValidation allowBlank="true" errorStyle="stop" operator="equal" showDropDown="false" showErrorMessage="true" showInputMessage="false" sqref="D10" type="list">
      <formula1>'CaCl2 Selector'!$L$6:$L$7</formula1>
      <formula2>0</formula2>
    </dataValidation>
    <dataValidation allowBlank="true" errorStyle="stop" operator="equal" showDropDown="false" showErrorMessage="true" showInputMessage="false" sqref="E10" type="list">
      <formula1>'CaCl2 Selector'!$M$6:$M$66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1:S95"/>
  <sheetViews>
    <sheetView showFormulas="false" showGridLines="false" showRowColHeaders="false" showZeros="true" rightToLeft="false" tabSelected="false" showOutlineSymbols="false" defaultGridColor="true" view="normal" topLeftCell="A1" colorId="64" zoomScale="80" zoomScaleNormal="80" zoomScalePageLayoutView="100" workbookViewId="0">
      <selection pane="topLeft" activeCell="H9" activeCellId="0" sqref="H9"/>
    </sheetView>
  </sheetViews>
  <sheetFormatPr defaultColWidth="12.84765625" defaultRowHeight="15" zeroHeight="false" outlineLevelRow="0" outlineLevelCol="0"/>
  <cols>
    <col collapsed="false" customWidth="true" hidden="false" outlineLevel="0" max="1" min="1" style="4" width="2.57"/>
    <col collapsed="false" customWidth="true" hidden="false" outlineLevel="0" max="3" min="2" style="255" width="15.94"/>
    <col collapsed="false" customWidth="true" hidden="false" outlineLevel="0" max="4" min="4" style="309" width="1.92"/>
    <col collapsed="false" customWidth="true" hidden="false" outlineLevel="0" max="5" min="5" style="310" width="12.96"/>
    <col collapsed="false" customWidth="true" hidden="false" outlineLevel="0" max="6" min="6" style="310" width="14.23"/>
    <col collapsed="false" customWidth="true" hidden="false" outlineLevel="0" max="7" min="7" style="310" width="14.39"/>
    <col collapsed="false" customWidth="true" hidden="false" outlineLevel="0" max="8" min="8" style="310" width="23.75"/>
    <col collapsed="false" customWidth="true" hidden="false" outlineLevel="0" max="10" min="9" style="310" width="12.96"/>
    <col collapsed="false" customWidth="true" hidden="false" outlineLevel="0" max="11" min="11" style="311" width="18.79"/>
    <col collapsed="false" customWidth="true" hidden="true" outlineLevel="0" max="12" min="12" style="311" width="21.33"/>
    <col collapsed="false" customWidth="true" hidden="false" outlineLevel="0" max="14" min="13" style="311" width="21.37"/>
    <col collapsed="false" customWidth="true" hidden="false" outlineLevel="0" max="15" min="15" style="311" width="14.04"/>
    <col collapsed="false" customWidth="true" hidden="true" outlineLevel="0" max="16" min="16" style="311" width="11.52"/>
    <col collapsed="false" customWidth="true" hidden="false" outlineLevel="0" max="17" min="17" style="311" width="15.55"/>
    <col collapsed="false" customWidth="true" hidden="false" outlineLevel="0" max="18" min="18" style="275" width="14.04"/>
    <col collapsed="false" customWidth="false" hidden="false" outlineLevel="0" max="250" min="19" style="275" width="12.83"/>
    <col collapsed="false" customWidth="false" hidden="false" outlineLevel="0" max="1022" min="251" style="255" width="12.83"/>
    <col collapsed="false" customWidth="true" hidden="false" outlineLevel="0" max="1024" min="1023" style="4" width="11.34"/>
  </cols>
  <sheetData>
    <row r="1" customFormat="false" ht="22.3" hidden="false" customHeight="true" outlineLevel="0" collapsed="false">
      <c r="B1" s="312" t="s">
        <v>302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</row>
    <row r="2" customFormat="false" ht="18" hidden="false" customHeight="true" outlineLevel="0" collapsed="false"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</row>
    <row r="3" customFormat="false" ht="18" hidden="false" customHeight="true" outlineLevel="0" collapsed="false">
      <c r="B3" s="313"/>
      <c r="C3" s="313"/>
      <c r="D3" s="314"/>
      <c r="E3" s="315" t="s">
        <v>303</v>
      </c>
      <c r="F3" s="315" t="s">
        <v>304</v>
      </c>
      <c r="G3" s="315" t="s">
        <v>305</v>
      </c>
      <c r="H3" s="4"/>
      <c r="I3" s="4"/>
      <c r="J3" s="4"/>
      <c r="K3" s="4"/>
      <c r="L3" s="4"/>
      <c r="M3" s="316"/>
      <c r="N3" s="317" t="s">
        <v>306</v>
      </c>
      <c r="O3" s="316" t="s">
        <v>307</v>
      </c>
      <c r="P3" s="318"/>
      <c r="Q3" s="315" t="s">
        <v>308</v>
      </c>
      <c r="R3" s="315" t="s">
        <v>309</v>
      </c>
      <c r="S3" s="4"/>
    </row>
    <row r="4" customFormat="false" ht="18" hidden="false" customHeight="true" outlineLevel="0" collapsed="false">
      <c r="B4" s="319"/>
      <c r="C4" s="319"/>
      <c r="D4" s="320"/>
      <c r="E4" s="316" t="s">
        <v>310</v>
      </c>
      <c r="F4" s="316" t="s">
        <v>310</v>
      </c>
      <c r="G4" s="315" t="s">
        <v>311</v>
      </c>
      <c r="H4" s="4"/>
      <c r="I4" s="4"/>
      <c r="J4" s="4"/>
      <c r="K4" s="4"/>
      <c r="L4" s="4"/>
      <c r="M4" s="316" t="s">
        <v>312</v>
      </c>
      <c r="N4" s="316" t="s">
        <v>313</v>
      </c>
      <c r="O4" s="321" t="s">
        <v>314</v>
      </c>
      <c r="P4" s="321" t="s">
        <v>315</v>
      </c>
      <c r="Q4" s="316" t="s">
        <v>316</v>
      </c>
      <c r="R4" s="315" t="s">
        <v>308</v>
      </c>
      <c r="S4" s="4"/>
    </row>
    <row r="5" customFormat="false" ht="18" hidden="false" customHeight="true" outlineLevel="0" collapsed="false">
      <c r="B5" s="322" t="e">
        <f aca="false">1+(#REF!*$O$20/($B$6))/1000</f>
        <v>#REF!</v>
      </c>
      <c r="C5" s="322"/>
      <c r="D5" s="323"/>
      <c r="E5" s="316" t="s">
        <v>317</v>
      </c>
      <c r="F5" s="316" t="s">
        <v>317</v>
      </c>
      <c r="G5" s="316" t="s">
        <v>318</v>
      </c>
      <c r="H5" s="316" t="s">
        <v>319</v>
      </c>
      <c r="I5" s="316" t="s">
        <v>320</v>
      </c>
      <c r="J5" s="316" t="s">
        <v>321</v>
      </c>
      <c r="K5" s="316" t="s">
        <v>322</v>
      </c>
      <c r="L5" s="316"/>
      <c r="M5" s="316" t="s">
        <v>323</v>
      </c>
      <c r="N5" s="316" t="s">
        <v>324</v>
      </c>
      <c r="O5" s="316" t="s">
        <v>325</v>
      </c>
      <c r="P5" s="316" t="s">
        <v>326</v>
      </c>
      <c r="Q5" s="315" t="s">
        <v>277</v>
      </c>
      <c r="R5" s="316" t="s">
        <v>316</v>
      </c>
      <c r="S5" s="4"/>
    </row>
    <row r="6" customFormat="false" ht="18" hidden="false" customHeight="true" outlineLevel="0" collapsed="false">
      <c r="B6" s="324" t="n">
        <f aca="false">ROUND($O$21*0.965-$O$19*($O$18)/60,2)</f>
        <v>6.53</v>
      </c>
      <c r="C6" s="324"/>
      <c r="D6" s="324"/>
      <c r="E6" s="316" t="s">
        <v>327</v>
      </c>
      <c r="F6" s="316" t="s">
        <v>328</v>
      </c>
      <c r="G6" s="316" t="s">
        <v>329</v>
      </c>
      <c r="H6" s="316" t="s">
        <v>330</v>
      </c>
      <c r="I6" s="316" t="s">
        <v>195</v>
      </c>
      <c r="J6" s="316" t="s">
        <v>331</v>
      </c>
      <c r="K6" s="316" t="s">
        <v>332</v>
      </c>
      <c r="L6" s="316"/>
      <c r="M6" s="316" t="s">
        <v>333</v>
      </c>
      <c r="N6" s="315" t="s">
        <v>334</v>
      </c>
      <c r="O6" s="316" t="s">
        <v>335</v>
      </c>
      <c r="P6" s="316" t="s">
        <v>336</v>
      </c>
      <c r="Q6" s="316" t="s">
        <v>337</v>
      </c>
      <c r="R6" s="316" t="s">
        <v>338</v>
      </c>
      <c r="S6" s="4"/>
    </row>
    <row r="7" customFormat="false" ht="22.3" hidden="false" customHeight="true" outlineLevel="0" collapsed="false">
      <c r="B7" s="325" t="s">
        <v>339</v>
      </c>
      <c r="C7" s="325"/>
      <c r="D7" s="326"/>
      <c r="E7" s="327" t="n">
        <v>0.51</v>
      </c>
      <c r="F7" s="328" t="n">
        <f aca="false">IF(E7&gt;0,E7*28.35,"")</f>
        <v>14.4585</v>
      </c>
      <c r="G7" s="329" t="s">
        <v>309</v>
      </c>
      <c r="H7" s="330" t="s">
        <v>340</v>
      </c>
      <c r="I7" s="330" t="n">
        <v>12.4</v>
      </c>
      <c r="J7" s="331" t="n">
        <f aca="false">IF(F7&gt;0,E7*I7,"")</f>
        <v>6.324</v>
      </c>
      <c r="K7" s="330" t="n">
        <v>60</v>
      </c>
      <c r="L7" s="332" t="n">
        <f aca="false">IF(G7="Pellet",K7*90/40,K7)</f>
        <v>135</v>
      </c>
      <c r="M7" s="333" t="n">
        <f aca="false">IF(OR(E7="",E7=0),"",IF(E7&gt;0,$O$20,""))</f>
        <v>1.048</v>
      </c>
      <c r="N7" s="334" t="n">
        <f aca="false">IF(OR(N6="",E6=0),"",IF(OR(E7=0,E7=""),"End = "&amp;ROUND($O$21*0.961-$O$19*($O$18/60),2)&amp;" G. @",IF(F7&gt;0,$O$21*0.961-$O$19*($O$18-K7)/60)))</f>
        <v>7.3997</v>
      </c>
      <c r="O7" s="333" t="n">
        <f aca="false">IFERROR(IF(F7&gt;0,1+(($I$17-1)*$B$6/N7)*0.99585,IF(LEFT(N7,1)="E",$O$20,"")),"")</f>
        <v>1.04218268632512</v>
      </c>
      <c r="P7" s="333" t="n">
        <f aca="false">IFERROR(1.65*0.000125^(O7-1),"")</f>
        <v>1.12938268104104</v>
      </c>
      <c r="Q7" s="335" t="n">
        <f aca="false">IF(OR(F7=0,F7=""),"",IFERROR(($R$22*P7*25.367715*(1-2.7182818285^(-0.04*L7)))/100,""))</f>
        <v>0.262568594791502</v>
      </c>
      <c r="R7" s="334" t="n">
        <f aca="false">IFERROR(IF(K7&gt;0,10*F7*I7*Q7/(N7*3.7854),""),"")</f>
        <v>16.8059014993661</v>
      </c>
      <c r="S7" s="4"/>
    </row>
    <row r="8" customFormat="false" ht="22.3" hidden="false" customHeight="true" outlineLevel="0" collapsed="false">
      <c r="B8" s="336" t="s">
        <v>341</v>
      </c>
      <c r="C8" s="336"/>
      <c r="D8" s="326"/>
      <c r="E8" s="327" t="n">
        <v>0.95</v>
      </c>
      <c r="F8" s="328" t="n">
        <f aca="false">IF(E8&gt;0,E8*28.35,"")</f>
        <v>26.9325</v>
      </c>
      <c r="G8" s="329" t="s">
        <v>309</v>
      </c>
      <c r="H8" s="330" t="s">
        <v>342</v>
      </c>
      <c r="I8" s="330" t="n">
        <v>4.6</v>
      </c>
      <c r="J8" s="331" t="n">
        <f aca="false">IF(F8&gt;0,E8*I8,"")</f>
        <v>4.37</v>
      </c>
      <c r="K8" s="330" t="n">
        <v>20</v>
      </c>
      <c r="L8" s="332" t="n">
        <f aca="false">IF(G8="Pellet",K8*90/40,K8)</f>
        <v>45</v>
      </c>
      <c r="M8" s="333" t="n">
        <f aca="false">IF(OR(E8="",E8=0),"",IF(E8&gt;0,$O$20,""))</f>
        <v>1.048</v>
      </c>
      <c r="N8" s="334" t="n">
        <f aca="false">IF(OR(N7="",E7=0),"",IF(OR(E8=0,E8=""),"End = "&amp;ROUND($O$21*0.961-$O$19*($O$18/60),2)&amp;" G. @",IF(F8&gt;0,$O$21*0.961-$O$19*($O$18-K8)/60)))</f>
        <v>6.7997</v>
      </c>
      <c r="O8" s="333" t="n">
        <f aca="false">IFERROR(IF(F8&gt;0,1+(($I$17-1)*$B$6/N8)*0.99585,IF(LEFT(N8,1)="E",$O$20,"")),"")</f>
        <v>1.04590485227289</v>
      </c>
      <c r="P8" s="333" t="n">
        <f aca="false">IFERROR(1.65*0.000125^(O8-1),"")</f>
        <v>1.09222767099358</v>
      </c>
      <c r="Q8" s="335" t="n">
        <f aca="false">IF(OR(F8=0,F8=""),"",IFERROR(($R$22*P8*25.367715*(1-2.7182818285^(-0.04*L8)))/100,""))</f>
        <v>0.212917712921336</v>
      </c>
      <c r="R8" s="334" t="n">
        <f aca="false">IFERROR(IF(K8&gt;0,10*F8*I8*Q8/(N8*3.7854),""),"")</f>
        <v>10.248133227615</v>
      </c>
      <c r="S8" s="4"/>
    </row>
    <row r="9" customFormat="false" ht="22.3" hidden="false" customHeight="true" outlineLevel="0" collapsed="false">
      <c r="B9" s="337" t="s">
        <v>343</v>
      </c>
      <c r="C9" s="338" t="s">
        <v>187</v>
      </c>
      <c r="D9" s="339"/>
      <c r="E9" s="327" t="n">
        <v>0</v>
      </c>
      <c r="F9" s="328" t="str">
        <f aca="false">IF(E9&gt;0,E9*28.35,"")</f>
        <v/>
      </c>
      <c r="G9" s="340" t="s">
        <v>344</v>
      </c>
      <c r="H9" s="330"/>
      <c r="I9" s="330" t="n">
        <v>0</v>
      </c>
      <c r="J9" s="331" t="n">
        <f aca="false">IF(F9&gt;0,E9*I9,"")</f>
        <v>0</v>
      </c>
      <c r="K9" s="330" t="n">
        <v>0</v>
      </c>
      <c r="L9" s="332" t="n">
        <f aca="false">IF(G9="Pellet",K9*90/40,K9)</f>
        <v>0</v>
      </c>
      <c r="M9" s="333" t="str">
        <f aca="false">IF(OR(E9="",E9=0),"",IF(E9&gt;0,$O$20,""))</f>
        <v/>
      </c>
      <c r="N9" s="334" t="str">
        <f aca="false">IF(OR(N8="",E8=0),"",IF(OR(E9=0,E9=""),"End = "&amp;ROUND($O$21*0.961-$O$19*($O$18/60),2)&amp;" G. @",IF(F9&gt;0,$O$21*0.961-$O$19*($O$18-K9)/60)))</f>
        <v>End = 6.5 G. @</v>
      </c>
      <c r="O9" s="333" t="str">
        <f aca="false">IFERROR(IF(F9&gt;0,1+(($I$17-1)*$B$6/N9)*0.99585,IF(LEFT(N9,1)="E",$O$20,"")),"")</f>
        <v/>
      </c>
      <c r="P9" s="333" t="str">
        <f aca="false">IFERROR(1.65*0.000125^(O9-1),"")</f>
        <v/>
      </c>
      <c r="Q9" s="335" t="str">
        <f aca="false">IF(OR(F9=0,F9=""),"",IFERROR(($R$22*P9*25.367715*(1-2.7182818285^(-0.04*L9)))/100,""))</f>
        <v/>
      </c>
      <c r="R9" s="334" t="str">
        <f aca="false">IFERROR(IF(K9&gt;0,10*F9*I9*Q9/(N9*3.7854),""),"")</f>
        <v/>
      </c>
      <c r="S9" s="4"/>
    </row>
    <row r="10" customFormat="false" ht="22.3" hidden="false" customHeight="true" outlineLevel="0" collapsed="false">
      <c r="B10" s="341" t="s">
        <v>345</v>
      </c>
      <c r="C10" s="342" t="s">
        <v>338</v>
      </c>
      <c r="D10" s="339"/>
      <c r="E10" s="327" t="n">
        <v>0</v>
      </c>
      <c r="F10" s="328" t="str">
        <f aca="false">IF(E10&gt;0,E10*28.35,"")</f>
        <v/>
      </c>
      <c r="G10" s="329" t="s">
        <v>344</v>
      </c>
      <c r="H10" s="330"/>
      <c r="I10" s="330" t="n">
        <v>0</v>
      </c>
      <c r="J10" s="331" t="n">
        <f aca="false">IF(F10&gt;0,E10*I10,"")</f>
        <v>0</v>
      </c>
      <c r="K10" s="330" t="n">
        <v>0</v>
      </c>
      <c r="L10" s="332" t="n">
        <f aca="false">IF(G10="Pellet",K10*90/40,K10)</f>
        <v>0</v>
      </c>
      <c r="M10" s="333" t="str">
        <f aca="false">IF(OR(E10="",E10=0),"",IF(E10&gt;0,$O$20,""))</f>
        <v/>
      </c>
      <c r="N10" s="334" t="str">
        <f aca="false">IF(OR(N9="",E9=0),"",IF(OR(E10=0,E10=""),"End = "&amp;ROUND($O$21*0.961-$O$19*($O$18/60),2)&amp;" G. @",IF(F10&gt;0,$O$21*0.961-$O$19*($O$18-K10)/60)))</f>
        <v/>
      </c>
      <c r="O10" s="333" t="str">
        <f aca="false">IFERROR(IF(F10&gt;0,1+(($I$17-1)*$B$6/N10)*0.99585,IF(LEFT(N10,1)="E",$O$20,"")),"")</f>
        <v/>
      </c>
      <c r="P10" s="333" t="str">
        <f aca="false">IFERROR(1.65*0.000125^(O10-1),"")</f>
        <v/>
      </c>
      <c r="Q10" s="335" t="str">
        <f aca="false">IF(OR(F10=0,F10=""),"",IFERROR(($R$22*P10*25.367715*(1-2.7182818285^(-0.04*L10)))/100,""))</f>
        <v/>
      </c>
      <c r="R10" s="334" t="str">
        <f aca="false">IFERROR(IF(K10&gt;0,10*F10*I10*Q10/(N10*3.7854),""),"")</f>
        <v/>
      </c>
      <c r="S10" s="4"/>
    </row>
    <row r="11" customFormat="false" ht="22.3" hidden="false" customHeight="true" outlineLevel="0" collapsed="false">
      <c r="B11" s="343" t="n">
        <v>0.563</v>
      </c>
      <c r="C11" s="344" t="n">
        <f aca="false">(O20-1)*1000*B11</f>
        <v>27.024</v>
      </c>
      <c r="D11" s="345"/>
      <c r="E11" s="327" t="n">
        <v>0</v>
      </c>
      <c r="F11" s="328" t="str">
        <f aca="false">IF(E11&gt;0,E11*28.35,"")</f>
        <v/>
      </c>
      <c r="G11" s="329" t="s">
        <v>344</v>
      </c>
      <c r="H11" s="330"/>
      <c r="I11" s="330" t="n">
        <v>0</v>
      </c>
      <c r="J11" s="331" t="n">
        <f aca="false">IF(F11&gt;0,E11*I11,"")</f>
        <v>0</v>
      </c>
      <c r="K11" s="330" t="n">
        <v>0</v>
      </c>
      <c r="L11" s="332" t="n">
        <f aca="false">IF(G11="Pellet",K11*90/40,K11)</f>
        <v>0</v>
      </c>
      <c r="M11" s="333" t="str">
        <f aca="false">IF(OR(E11="",E11=0),"",IF(E11&gt;0,$O$20,""))</f>
        <v/>
      </c>
      <c r="N11" s="334" t="str">
        <f aca="false">IF(OR(N10="",E10=0),"",IF(OR(E11=0,E11=""),"End = "&amp;ROUND($O$21*0.961-$O$19*($O$18/60),2)&amp;" G. @",IF(F11&gt;0,$O$21*0.961-$O$19*($O$18-K11)/60)))</f>
        <v/>
      </c>
      <c r="O11" s="333" t="str">
        <f aca="false">IFERROR(IF(F11&gt;0,1+(($I$17-1)*$B$6/N11)*0.99585,IF(LEFT(N11,1)="E",$O$20,"")),"")</f>
        <v/>
      </c>
      <c r="P11" s="333" t="str">
        <f aca="false">IFERROR(1.65*0.000125^(O11-1),"")</f>
        <v/>
      </c>
      <c r="Q11" s="335" t="str">
        <f aca="false">IF(OR(F11=0,F11=""),"",IFERROR(($R$22*P11*25.367715*(1-2.7182818285^(-0.04*L11)))/100,""))</f>
        <v/>
      </c>
      <c r="R11" s="334" t="str">
        <f aca="false">IFERROR(IF(K11&gt;0,10*F11*I11*Q11/(N11*3.7854),""),"")</f>
        <v/>
      </c>
      <c r="S11" s="4"/>
    </row>
    <row r="12" customFormat="false" ht="22.3" hidden="false" customHeight="true" outlineLevel="0" collapsed="false">
      <c r="B12" s="337" t="s">
        <v>346</v>
      </c>
      <c r="C12" s="338" t="s">
        <v>347</v>
      </c>
      <c r="D12" s="339"/>
      <c r="E12" s="327" t="n">
        <v>0</v>
      </c>
      <c r="F12" s="328" t="str">
        <f aca="false">IF(E12&gt;0,E12*28.35,"")</f>
        <v/>
      </c>
      <c r="G12" s="329" t="s">
        <v>344</v>
      </c>
      <c r="H12" s="330"/>
      <c r="I12" s="330" t="n">
        <v>0</v>
      </c>
      <c r="J12" s="331" t="n">
        <f aca="false">IF(F12&gt;0,E12*I12,"")</f>
        <v>0</v>
      </c>
      <c r="K12" s="330" t="n">
        <v>0</v>
      </c>
      <c r="L12" s="332" t="n">
        <f aca="false">IF(G12="Pellet",K12*90/40,K12)</f>
        <v>0</v>
      </c>
      <c r="M12" s="333" t="str">
        <f aca="false">IF(OR(E12="",E12=0),"",IF(E12&gt;0,$O$20,""))</f>
        <v/>
      </c>
      <c r="N12" s="334" t="str">
        <f aca="false">IF(OR(N11="",E11=0),"",IF(OR(E12=0,E12=""),"End = "&amp;ROUND($O$21*0.961-$O$19*($O$18/60),2)&amp;" G. @",IF(F12&gt;0,$O$21*0.961-$O$19*($O$18-K12)/60)))</f>
        <v/>
      </c>
      <c r="O12" s="333" t="str">
        <f aca="false">IFERROR(IF(F12&gt;0,1+(($I$17-1)*$B$6/N12)*0.99585,IF(LEFT(N12,1)="E",$O$20,"")),"")</f>
        <v/>
      </c>
      <c r="P12" s="333" t="str">
        <f aca="false">IFERROR(1.65*0.000125^(O12-1),"")</f>
        <v/>
      </c>
      <c r="Q12" s="335" t="str">
        <f aca="false">IF(OR(F12=0,F12=""),"",IFERROR(($R$22*P12*25.367715*(1-2.7182818285^(-0.04*L12)))/100,""))</f>
        <v/>
      </c>
      <c r="R12" s="334" t="str">
        <f aca="false">IFERROR(IF(K12&gt;0,10*F12*I12*Q12/(N12*3.7854),""),"")</f>
        <v/>
      </c>
      <c r="S12" s="4"/>
    </row>
    <row r="13" customFormat="false" ht="22.3" hidden="false" customHeight="true" outlineLevel="0" collapsed="false">
      <c r="B13" s="341" t="s">
        <v>348</v>
      </c>
      <c r="C13" s="342" t="s">
        <v>349</v>
      </c>
      <c r="D13" s="339"/>
      <c r="E13" s="327" t="n">
        <v>0</v>
      </c>
      <c r="F13" s="328" t="str">
        <f aca="false">IF(E13&gt;0,E13*28.35,"")</f>
        <v/>
      </c>
      <c r="G13" s="329" t="s">
        <v>344</v>
      </c>
      <c r="H13" s="330"/>
      <c r="I13" s="330" t="n">
        <v>0</v>
      </c>
      <c r="J13" s="331" t="n">
        <f aca="false">IF(F13&gt;0,E13*I13,"")</f>
        <v>0</v>
      </c>
      <c r="K13" s="330" t="n">
        <v>0</v>
      </c>
      <c r="L13" s="332" t="n">
        <f aca="false">IF(G13="Pellet",K13*90/40,K13)</f>
        <v>0</v>
      </c>
      <c r="M13" s="333" t="str">
        <f aca="false">IF(OR(E13="",E13=0),"",IF(E13&gt;0,$O$20,""))</f>
        <v/>
      </c>
      <c r="N13" s="334" t="str">
        <f aca="false">IF(OR(N12="",E12=0),"",IF(OR(E13=0,E13=""),"End = "&amp;ROUND($O$21*0.961-$O$19*($O$18/60),2)&amp;" G. @",IF(F13&gt;0,$O$21*0.961-$O$19*($O$18-K13)/60)))</f>
        <v/>
      </c>
      <c r="O13" s="333" t="str">
        <f aca="false">IFERROR(IF(F13&gt;0,1+(($I$17-1)*$B$6/N13)*0.99585,IF(LEFT(N13,1)="E",$O$20,"")),"")</f>
        <v/>
      </c>
      <c r="P13" s="333" t="str">
        <f aca="false">IFERROR(1.65*0.000125^(O13-1),"")</f>
        <v/>
      </c>
      <c r="Q13" s="335" t="str">
        <f aca="false">IF(OR(F13=0,F13=""),"",IFERROR(($R$22*P13*25.367715*(1-2.7182818285^(-0.04*L13)))/100,""))</f>
        <v/>
      </c>
      <c r="R13" s="334" t="str">
        <f aca="false">IFERROR(IF(K13&gt;0,10*F13*I13*Q13/(N13*3.7854),""),"")</f>
        <v/>
      </c>
      <c r="S13" s="4"/>
    </row>
    <row r="14" customFormat="false" ht="22.3" hidden="false" customHeight="true" outlineLevel="0" collapsed="false">
      <c r="B14" s="346" t="n">
        <v>2</v>
      </c>
      <c r="C14" s="347" t="n">
        <f aca="false">IF(B14=1,C11,IF(B14=2,C17*C11*1.618034,C17*C11*1.618))</f>
        <v>16.701750816</v>
      </c>
      <c r="D14" s="345"/>
      <c r="E14" s="327" t="n">
        <v>0</v>
      </c>
      <c r="F14" s="328" t="str">
        <f aca="false">IF(E14&gt;0,E14*28.35,"")</f>
        <v/>
      </c>
      <c r="G14" s="329" t="s">
        <v>344</v>
      </c>
      <c r="H14" s="330"/>
      <c r="I14" s="330" t="n">
        <v>0</v>
      </c>
      <c r="J14" s="331" t="n">
        <f aca="false">IF(F14&gt;0,E14*I14,"")</f>
        <v>0</v>
      </c>
      <c r="K14" s="330" t="n">
        <v>0</v>
      </c>
      <c r="L14" s="332" t="n">
        <f aca="false">IF(G14="Pellet",K14*90/40,K14)</f>
        <v>0</v>
      </c>
      <c r="M14" s="333" t="str">
        <f aca="false">IF(OR(E14="",E14=0),"",IF(E14&gt;0,$O$20,""))</f>
        <v/>
      </c>
      <c r="N14" s="334" t="str">
        <f aca="false">IF(OR(N13="",E13=0),"",IF(OR(E14=0,E14=""),"End = "&amp;ROUND($O$21*0.961-$O$19*($O$18/60),2)&amp;" G. @",IF(F14&gt;0,$O$21*0.961-$O$19*($O$18-K14)/60)))</f>
        <v/>
      </c>
      <c r="O14" s="333" t="str">
        <f aca="false">IFERROR(IF(F14&gt;0,1+(($I$17-1)*$B$6/N14)*0.99585,IF(LEFT(N14,1)="E",$O$20,"")),"")</f>
        <v/>
      </c>
      <c r="P14" s="333" t="str">
        <f aca="false">IFERROR(1.65*0.000125^(O14-1),"")</f>
        <v/>
      </c>
      <c r="Q14" s="335" t="str">
        <f aca="false">IF(OR(F14=0,F14=""),"",IFERROR(($R$22*P14*25.367715*(1-2.7182818285^(-0.04*L14)))/100,""))</f>
        <v/>
      </c>
      <c r="R14" s="334" t="str">
        <f aca="false">IFERROR(IF(K14&gt;0,10*F14*I14*Q14/(N14*3.7854),""),"")</f>
        <v/>
      </c>
      <c r="S14" s="4"/>
    </row>
    <row r="15" customFormat="false" ht="22.3" hidden="false" customHeight="true" outlineLevel="0" collapsed="false">
      <c r="B15" s="348"/>
      <c r="C15" s="349" t="n">
        <f aca="false">IF(B14=1,"",IF(B14=2,C11-C14,C17*C11))</f>
        <v>10.322249184</v>
      </c>
      <c r="D15" s="345"/>
      <c r="E15" s="327" t="n">
        <v>0</v>
      </c>
      <c r="F15" s="328" t="str">
        <f aca="false">IF(E15&gt;0,E15*28.35,"")</f>
        <v/>
      </c>
      <c r="G15" s="329" t="s">
        <v>344</v>
      </c>
      <c r="H15" s="330"/>
      <c r="I15" s="330" t="n">
        <v>0</v>
      </c>
      <c r="J15" s="331" t="n">
        <f aca="false">IF(F15&gt;0,E15*I15,"")</f>
        <v>0</v>
      </c>
      <c r="K15" s="330" t="n">
        <v>0</v>
      </c>
      <c r="L15" s="332" t="n">
        <f aca="false">IF(G15="Pellet",K15*90/40,K15)</f>
        <v>0</v>
      </c>
      <c r="M15" s="333" t="str">
        <f aca="false">IF(OR(E15="",E15=0),"",IF(E15&gt;0,$O$20,""))</f>
        <v/>
      </c>
      <c r="N15" s="334" t="str">
        <f aca="false">IF(OR(N14="",E14=0),"",IF(OR(E15=0,E15=""),"End = "&amp;ROUND($O$21*0.961-$O$19*($O$18/60),2)&amp;" G. @",IF(F15&gt;0,$O$21*0.961-$O$19*($O$18-K15)/60)))</f>
        <v/>
      </c>
      <c r="O15" s="333" t="str">
        <f aca="false">IFERROR(IF(F15&gt;0,1+(($I$17-1)*$B$6/N15)*0.99585,IF(LEFT(N15,1)="E",$O$20,"")),"")</f>
        <v/>
      </c>
      <c r="P15" s="333" t="str">
        <f aca="false">IFERROR(1.65*0.000125^(O15-1),"")</f>
        <v/>
      </c>
      <c r="Q15" s="335" t="str">
        <f aca="false">IF(OR(F15=0,F15=""),"",IFERROR(($R$22*P15*25.367715*(1-2.7182818285^(-0.04*L15)))/100,""))</f>
        <v/>
      </c>
      <c r="R15" s="334" t="str">
        <f aca="false">IFERROR(IF(K15&gt;0,10*F15*I15*Q15/(N15*3.7854),""),"")</f>
        <v/>
      </c>
      <c r="S15" s="4"/>
    </row>
    <row r="16" customFormat="false" ht="22.3" hidden="false" customHeight="true" outlineLevel="0" collapsed="false">
      <c r="B16" s="350"/>
      <c r="C16" s="351" t="str">
        <f aca="false">IF(B14=1,"",IF(B14=2,"",C17*C11*0.618))</f>
        <v/>
      </c>
      <c r="D16" s="352"/>
      <c r="E16" s="327" t="n">
        <v>0</v>
      </c>
      <c r="F16" s="328" t="str">
        <f aca="false">IF(E16&gt;0,E16*28.35,"")</f>
        <v/>
      </c>
      <c r="G16" s="329" t="s">
        <v>344</v>
      </c>
      <c r="H16" s="330"/>
      <c r="I16" s="330" t="n">
        <v>0</v>
      </c>
      <c r="J16" s="331" t="n">
        <f aca="false">IF(F16&gt;0,E16*I16,"")</f>
        <v>0</v>
      </c>
      <c r="K16" s="330" t="n">
        <v>0</v>
      </c>
      <c r="L16" s="332" t="n">
        <f aca="false">IF(G16="Pellet",K16*90/40,K16)</f>
        <v>0</v>
      </c>
      <c r="M16" s="333" t="str">
        <f aca="false">IF(OR(E16="",E16=0),"",IF(E16&gt;0,$O$20,""))</f>
        <v/>
      </c>
      <c r="N16" s="334" t="str">
        <f aca="false">IF(OR(N15="",E15=0),"",IF(OR(E16=0,E16=""),"End = "&amp;ROUND($O$21*0.961-$O$19*($O$18/60),2)&amp;" G. @",IF(F16&gt;0,$O$21*0.961-$O$19*($O$18-K16)/60)))</f>
        <v/>
      </c>
      <c r="O16" s="333" t="str">
        <f aca="false">IFERROR(IF(F16&gt;0,1+(($I$17-1)*$B$6/N16)*0.99585,IF(LEFT(N16,1)="E",$O$20,"")),"")</f>
        <v/>
      </c>
      <c r="P16" s="333" t="str">
        <f aca="false">IFERROR(1.65*0.000125^(O16-1),"")</f>
        <v/>
      </c>
      <c r="Q16" s="335" t="str">
        <f aca="false">IF(OR(F16=0,F16=""),"",IFERROR(($R$22*P16*25.367715*(1-2.7182818285^(-0.04*L16)))/100,""))</f>
        <v/>
      </c>
      <c r="R16" s="334" t="str">
        <f aca="false">IFERROR(IF(K16&gt;0,10*F16*I16*Q16/(N16*3.7854),""),"")</f>
        <v/>
      </c>
      <c r="S16" s="4"/>
    </row>
    <row r="17" customFormat="false" ht="22.3" hidden="false" customHeight="true" outlineLevel="0" collapsed="false">
      <c r="B17" s="353"/>
      <c r="C17" s="354" t="n">
        <f aca="false">IF(B14=2,0.618034/1.618034,IF(B14=3,0.309017,1))</f>
        <v>0.381966015547263</v>
      </c>
      <c r="D17" s="355"/>
      <c r="E17" s="4"/>
      <c r="F17" s="4"/>
      <c r="G17" s="356" t="s">
        <v>344</v>
      </c>
      <c r="H17" s="357" t="s">
        <v>350</v>
      </c>
      <c r="I17" s="328" t="n">
        <f aca="false">O20</f>
        <v>1.048</v>
      </c>
      <c r="J17" s="358"/>
      <c r="K17" s="359" t="s">
        <v>274</v>
      </c>
      <c r="L17" s="359"/>
      <c r="M17" s="359"/>
      <c r="N17" s="359"/>
      <c r="O17" s="360" t="s">
        <v>351</v>
      </c>
      <c r="P17" s="360"/>
      <c r="Q17" s="360"/>
      <c r="R17" s="361" t="n">
        <f aca="false">SUM(R7:R16)</f>
        <v>27.0540347269811</v>
      </c>
      <c r="S17" s="4"/>
    </row>
    <row r="18" customFormat="false" ht="22.3" hidden="false" customHeight="true" outlineLevel="0" collapsed="false">
      <c r="E18" s="362" t="s">
        <v>75</v>
      </c>
      <c r="F18" s="362"/>
      <c r="G18" s="363" t="s">
        <v>309</v>
      </c>
      <c r="H18" s="364" t="s">
        <v>352</v>
      </c>
      <c r="I18" s="365" t="n">
        <v>0.75</v>
      </c>
      <c r="J18" s="358"/>
      <c r="K18" s="357" t="s">
        <v>353</v>
      </c>
      <c r="L18" s="357"/>
      <c r="M18" s="357"/>
      <c r="N18" s="357"/>
      <c r="O18" s="366" t="n">
        <v>60</v>
      </c>
      <c r="P18" s="367"/>
      <c r="Q18" s="367"/>
      <c r="R18" s="368"/>
      <c r="S18" s="368"/>
    </row>
    <row r="19" customFormat="false" ht="22.3" hidden="false" customHeight="true" outlineLevel="0" collapsed="false">
      <c r="E19" s="369"/>
      <c r="F19" s="370" t="s">
        <v>81</v>
      </c>
      <c r="G19" s="371" t="s">
        <v>318</v>
      </c>
      <c r="H19" s="372" t="s">
        <v>354</v>
      </c>
      <c r="I19" s="373" t="n">
        <f aca="false">1+((I17-1)*(1-I18))</f>
        <v>1.012</v>
      </c>
      <c r="J19" s="358"/>
      <c r="K19" s="372" t="s">
        <v>355</v>
      </c>
      <c r="L19" s="372"/>
      <c r="M19" s="372"/>
      <c r="N19" s="372"/>
      <c r="O19" s="366" t="n">
        <v>0.9</v>
      </c>
      <c r="P19" s="367"/>
      <c r="Q19" s="367"/>
      <c r="R19" s="367"/>
      <c r="S19" s="367"/>
    </row>
    <row r="20" customFormat="false" ht="22.3" hidden="false" customHeight="true" outlineLevel="0" collapsed="false">
      <c r="E20" s="374"/>
      <c r="F20" s="370" t="s">
        <v>329</v>
      </c>
      <c r="G20" s="371"/>
      <c r="H20" s="357" t="s">
        <v>356</v>
      </c>
      <c r="I20" s="373" t="n">
        <f aca="false">R17/(I17*1000-1000)</f>
        <v>0.563625723478774</v>
      </c>
      <c r="J20" s="358"/>
      <c r="K20" s="357" t="s">
        <v>357</v>
      </c>
      <c r="L20" s="357"/>
      <c r="M20" s="357"/>
      <c r="N20" s="357"/>
      <c r="O20" s="375" t="n">
        <v>1.048</v>
      </c>
      <c r="P20" s="367"/>
      <c r="Q20" s="367"/>
      <c r="R20" s="376"/>
      <c r="S20" s="368"/>
    </row>
    <row r="21" customFormat="false" ht="22.3" hidden="false" customHeight="true" outlineLevel="0" collapsed="false">
      <c r="E21" s="377"/>
      <c r="F21" s="370" t="s">
        <v>304</v>
      </c>
      <c r="H21" s="372" t="s">
        <v>358</v>
      </c>
      <c r="I21" s="373" t="n">
        <f aca="false">I20*(1+(I18-0.7655))</f>
        <v>0.554889524764853</v>
      </c>
      <c r="J21" s="358"/>
      <c r="K21" s="378" t="s">
        <v>359</v>
      </c>
      <c r="L21" s="378"/>
      <c r="M21" s="378"/>
      <c r="N21" s="378"/>
      <c r="O21" s="379" t="n">
        <v>7.7</v>
      </c>
      <c r="P21" s="380"/>
      <c r="Q21" s="4"/>
      <c r="R21" s="4"/>
      <c r="S21" s="368"/>
    </row>
    <row r="22" customFormat="false" ht="22.3" hidden="false" customHeight="true" outlineLevel="0" collapsed="false">
      <c r="E22" s="381"/>
      <c r="F22" s="370" t="s">
        <v>304</v>
      </c>
      <c r="H22" s="372" t="s">
        <v>360</v>
      </c>
      <c r="I22" s="335" t="n">
        <f aca="false">((76.08*(I17-I19)/(1.775-I17))*(I19/0.794))/100</f>
        <v>0.048017395944134</v>
      </c>
      <c r="J22" s="358"/>
      <c r="K22" s="378" t="s">
        <v>361</v>
      </c>
      <c r="L22" s="378"/>
      <c r="M22" s="378"/>
      <c r="N22" s="378"/>
      <c r="O22" s="382" t="n">
        <f aca="false">O21*0.961</f>
        <v>7.3997</v>
      </c>
      <c r="P22" s="380"/>
      <c r="Q22" s="383" t="s">
        <v>362</v>
      </c>
      <c r="R22" s="384" t="n">
        <f aca="false">(2.39*10^11*2.71828182846^-(9773/((R23-32)/1.8+273.15)))*1/1.009231744</f>
        <v>0.920632443869875</v>
      </c>
      <c r="S22" s="385"/>
    </row>
    <row r="23" customFormat="false" ht="22.3" hidden="false" customHeight="true" outlineLevel="0" collapsed="false">
      <c r="H23" s="358"/>
      <c r="I23" s="358"/>
      <c r="J23" s="358"/>
      <c r="K23" s="378" t="s">
        <v>363</v>
      </c>
      <c r="L23" s="378"/>
      <c r="M23" s="378"/>
      <c r="N23" s="378"/>
      <c r="O23" s="386" t="n">
        <v>1190</v>
      </c>
      <c r="P23" s="380"/>
      <c r="Q23" s="383" t="s">
        <v>364</v>
      </c>
      <c r="R23" s="387" t="n">
        <f aca="false">49.161 * LN(29.921 * (1 - 0.0000068753 *O23)^ 5.2559) + 44.932</f>
        <v>209.885934001475</v>
      </c>
      <c r="S23" s="368"/>
    </row>
    <row r="24" customFormat="false" ht="21.6" hidden="false" customHeight="true" outlineLevel="0" collapsed="false">
      <c r="I24" s="358"/>
      <c r="J24" s="358"/>
      <c r="K24" s="316"/>
      <c r="L24" s="316"/>
      <c r="M24" s="316"/>
      <c r="N24" s="316"/>
      <c r="O24" s="380"/>
      <c r="P24" s="4"/>
      <c r="Q24" s="4"/>
      <c r="R24" s="4"/>
    </row>
    <row r="25" customFormat="false" ht="21.6" hidden="false" customHeight="true" outlineLevel="0" collapsed="false">
      <c r="I25" s="358"/>
      <c r="J25" s="358"/>
      <c r="K25" s="316"/>
      <c r="L25" s="316"/>
      <c r="M25" s="316"/>
      <c r="N25" s="316"/>
      <c r="O25" s="316"/>
      <c r="P25" s="316"/>
      <c r="Q25" s="316"/>
    </row>
    <row r="26" customFormat="false" ht="21.6" hidden="false" customHeight="true" outlineLevel="0" collapsed="false">
      <c r="I26" s="358"/>
      <c r="J26" s="358"/>
      <c r="K26" s="316"/>
      <c r="L26" s="316"/>
      <c r="M26" s="316"/>
      <c r="N26" s="316"/>
      <c r="O26" s="316"/>
      <c r="P26" s="316"/>
      <c r="Q26" s="316"/>
    </row>
    <row r="27" customFormat="false" ht="21.6" hidden="false" customHeight="true" outlineLevel="0" collapsed="false">
      <c r="I27" s="358"/>
      <c r="J27" s="358"/>
      <c r="K27" s="316"/>
      <c r="L27" s="316"/>
      <c r="M27" s="316"/>
      <c r="N27" s="316"/>
      <c r="O27" s="316"/>
      <c r="P27" s="316"/>
      <c r="Q27" s="316"/>
    </row>
    <row r="28" customFormat="false" ht="21.6" hidden="false" customHeight="true" outlineLevel="0" collapsed="false">
      <c r="I28" s="358"/>
      <c r="J28" s="358"/>
      <c r="K28" s="316"/>
      <c r="L28" s="316"/>
      <c r="M28" s="316"/>
      <c r="N28" s="316"/>
      <c r="O28" s="316"/>
      <c r="P28" s="316"/>
      <c r="Q28" s="316"/>
    </row>
    <row r="29" customFormat="false" ht="21.6" hidden="false" customHeight="true" outlineLevel="0" collapsed="false">
      <c r="I29" s="358"/>
      <c r="J29" s="358"/>
      <c r="K29" s="316"/>
      <c r="L29" s="316"/>
      <c r="M29" s="316"/>
      <c r="N29" s="316"/>
      <c r="O29" s="316"/>
      <c r="P29" s="316"/>
      <c r="Q29" s="316"/>
    </row>
    <row r="30" customFormat="false" ht="21.6" hidden="false" customHeight="true" outlineLevel="0" collapsed="false">
      <c r="I30" s="358"/>
      <c r="J30" s="358"/>
      <c r="K30" s="316"/>
      <c r="L30" s="316"/>
      <c r="M30" s="316"/>
      <c r="N30" s="316"/>
      <c r="O30" s="316"/>
      <c r="P30" s="316"/>
      <c r="Q30" s="316"/>
    </row>
    <row r="31" customFormat="false" ht="15" hidden="false" customHeight="false" outlineLevel="0" collapsed="false">
      <c r="I31" s="358"/>
      <c r="J31" s="358"/>
      <c r="K31" s="316"/>
      <c r="L31" s="316"/>
      <c r="M31" s="316"/>
      <c r="N31" s="316"/>
      <c r="O31" s="316"/>
      <c r="P31" s="316"/>
      <c r="Q31" s="316"/>
    </row>
    <row r="32" customFormat="false" ht="15" hidden="false" customHeight="false" outlineLevel="0" collapsed="false">
      <c r="I32" s="358"/>
      <c r="J32" s="358"/>
      <c r="K32" s="316"/>
      <c r="L32" s="316"/>
      <c r="M32" s="316"/>
      <c r="N32" s="316"/>
      <c r="O32" s="316"/>
      <c r="P32" s="316"/>
      <c r="Q32" s="316"/>
    </row>
    <row r="33" customFormat="false" ht="15" hidden="false" customHeight="false" outlineLevel="0" collapsed="false">
      <c r="I33" s="358"/>
      <c r="J33" s="358"/>
      <c r="K33" s="316"/>
      <c r="L33" s="316"/>
      <c r="M33" s="316"/>
      <c r="N33" s="316"/>
      <c r="O33" s="316"/>
      <c r="P33" s="316"/>
      <c r="Q33" s="316"/>
    </row>
    <row r="34" customFormat="false" ht="15" hidden="false" customHeight="false" outlineLevel="0" collapsed="false">
      <c r="I34" s="358"/>
      <c r="J34" s="358"/>
      <c r="K34" s="316"/>
      <c r="L34" s="316"/>
      <c r="M34" s="316"/>
      <c r="N34" s="316"/>
      <c r="O34" s="316"/>
      <c r="P34" s="316"/>
      <c r="Q34" s="316"/>
    </row>
    <row r="35" customFormat="false" ht="15" hidden="false" customHeight="false" outlineLevel="0" collapsed="false">
      <c r="I35" s="358"/>
      <c r="J35" s="358"/>
      <c r="K35" s="316"/>
      <c r="L35" s="316"/>
      <c r="M35" s="316"/>
      <c r="N35" s="316"/>
      <c r="O35" s="316"/>
      <c r="P35" s="316"/>
      <c r="Q35" s="316"/>
    </row>
    <row r="36" customFormat="false" ht="15" hidden="false" customHeight="false" outlineLevel="0" collapsed="false">
      <c r="I36" s="358"/>
      <c r="J36" s="358"/>
      <c r="K36" s="316"/>
      <c r="L36" s="316"/>
      <c r="M36" s="316"/>
      <c r="N36" s="316"/>
      <c r="O36" s="316"/>
      <c r="P36" s="316"/>
      <c r="Q36" s="316"/>
    </row>
    <row r="37" customFormat="false" ht="15" hidden="false" customHeight="false" outlineLevel="0" collapsed="false">
      <c r="I37" s="358"/>
      <c r="J37" s="358"/>
      <c r="K37" s="316"/>
      <c r="L37" s="316"/>
      <c r="M37" s="316"/>
      <c r="N37" s="316"/>
      <c r="O37" s="316"/>
      <c r="P37" s="316"/>
      <c r="Q37" s="316"/>
    </row>
    <row r="38" customFormat="false" ht="15" hidden="false" customHeight="false" outlineLevel="0" collapsed="false">
      <c r="I38" s="358"/>
      <c r="J38" s="358"/>
      <c r="K38" s="316"/>
      <c r="L38" s="316"/>
      <c r="M38" s="316"/>
      <c r="N38" s="316"/>
      <c r="O38" s="316"/>
      <c r="P38" s="316"/>
      <c r="Q38" s="316"/>
    </row>
    <row r="39" customFormat="false" ht="15" hidden="false" customHeight="false" outlineLevel="0" collapsed="false">
      <c r="I39" s="358"/>
      <c r="J39" s="358"/>
      <c r="K39" s="316"/>
      <c r="L39" s="316"/>
      <c r="M39" s="316"/>
      <c r="N39" s="316"/>
      <c r="O39" s="316"/>
      <c r="P39" s="316"/>
      <c r="Q39" s="316"/>
    </row>
    <row r="40" customFormat="false" ht="15" hidden="false" customHeight="false" outlineLevel="0" collapsed="false">
      <c r="I40" s="358"/>
      <c r="J40" s="358"/>
      <c r="K40" s="316"/>
      <c r="L40" s="316"/>
      <c r="M40" s="316"/>
      <c r="N40" s="316"/>
      <c r="O40" s="316"/>
      <c r="P40" s="316"/>
      <c r="Q40" s="316"/>
    </row>
    <row r="41" customFormat="false" ht="15" hidden="false" customHeight="false" outlineLevel="0" collapsed="false">
      <c r="I41" s="358"/>
      <c r="J41" s="358"/>
      <c r="K41" s="316"/>
      <c r="L41" s="316"/>
      <c r="M41" s="316"/>
      <c r="N41" s="316"/>
      <c r="O41" s="316"/>
      <c r="P41" s="316"/>
      <c r="Q41" s="316"/>
    </row>
    <row r="42" customFormat="false" ht="15" hidden="false" customHeight="false" outlineLevel="0" collapsed="false">
      <c r="I42" s="358"/>
      <c r="J42" s="358"/>
      <c r="K42" s="316"/>
      <c r="L42" s="316"/>
      <c r="M42" s="316"/>
      <c r="N42" s="316"/>
      <c r="O42" s="316"/>
      <c r="P42" s="316"/>
      <c r="Q42" s="316"/>
    </row>
    <row r="43" customFormat="false" ht="15" hidden="false" customHeight="false" outlineLevel="0" collapsed="false">
      <c r="I43" s="358"/>
      <c r="J43" s="358"/>
      <c r="K43" s="316"/>
      <c r="L43" s="316"/>
      <c r="M43" s="316"/>
      <c r="N43" s="316"/>
      <c r="O43" s="316"/>
      <c r="P43" s="316"/>
      <c r="Q43" s="316"/>
    </row>
    <row r="44" customFormat="false" ht="15" hidden="false" customHeight="false" outlineLevel="0" collapsed="false">
      <c r="I44" s="358"/>
      <c r="J44" s="358"/>
      <c r="K44" s="316"/>
      <c r="L44" s="316"/>
      <c r="M44" s="316"/>
      <c r="N44" s="316"/>
      <c r="O44" s="316"/>
      <c r="P44" s="316"/>
      <c r="Q44" s="316"/>
    </row>
    <row r="45" customFormat="false" ht="15" hidden="false" customHeight="false" outlineLevel="0" collapsed="false">
      <c r="I45" s="358"/>
      <c r="J45" s="358"/>
      <c r="K45" s="316"/>
      <c r="L45" s="316"/>
      <c r="M45" s="316"/>
      <c r="N45" s="316"/>
      <c r="O45" s="316"/>
      <c r="P45" s="316"/>
      <c r="Q45" s="316"/>
    </row>
    <row r="46" customFormat="false" ht="15" hidden="false" customHeight="false" outlineLevel="0" collapsed="false">
      <c r="I46" s="358"/>
      <c r="J46" s="358"/>
      <c r="K46" s="316"/>
      <c r="L46" s="316"/>
      <c r="M46" s="316"/>
      <c r="N46" s="316"/>
      <c r="O46" s="316"/>
      <c r="P46" s="316"/>
      <c r="Q46" s="316"/>
    </row>
    <row r="47" customFormat="false" ht="15" hidden="false" customHeight="false" outlineLevel="0" collapsed="false">
      <c r="I47" s="358"/>
      <c r="J47" s="358"/>
      <c r="K47" s="316"/>
      <c r="L47" s="316"/>
      <c r="M47" s="316"/>
      <c r="N47" s="316"/>
      <c r="O47" s="316"/>
      <c r="P47" s="316"/>
      <c r="Q47" s="316"/>
    </row>
    <row r="48" customFormat="false" ht="15" hidden="false" customHeight="false" outlineLevel="0" collapsed="false">
      <c r="I48" s="358"/>
      <c r="J48" s="358"/>
      <c r="K48" s="316"/>
      <c r="L48" s="316"/>
      <c r="M48" s="316"/>
      <c r="N48" s="316"/>
      <c r="O48" s="316"/>
      <c r="P48" s="316"/>
      <c r="Q48" s="316"/>
    </row>
    <row r="49" customFormat="false" ht="15" hidden="false" customHeight="false" outlineLevel="0" collapsed="false">
      <c r="I49" s="358"/>
      <c r="J49" s="358"/>
      <c r="K49" s="316"/>
      <c r="L49" s="316"/>
      <c r="M49" s="316"/>
      <c r="N49" s="316"/>
      <c r="O49" s="316"/>
      <c r="P49" s="316"/>
      <c r="Q49" s="316"/>
    </row>
    <row r="50" customFormat="false" ht="15" hidden="false" customHeight="false" outlineLevel="0" collapsed="false">
      <c r="I50" s="358"/>
      <c r="J50" s="358"/>
      <c r="K50" s="316"/>
      <c r="L50" s="316"/>
      <c r="M50" s="316"/>
      <c r="N50" s="316"/>
      <c r="O50" s="316"/>
      <c r="P50" s="316"/>
      <c r="Q50" s="316"/>
    </row>
    <row r="51" customFormat="false" ht="15" hidden="false" customHeight="false" outlineLevel="0" collapsed="false">
      <c r="I51" s="358"/>
      <c r="J51" s="358"/>
      <c r="K51" s="316"/>
      <c r="L51" s="316"/>
      <c r="M51" s="316"/>
      <c r="N51" s="316"/>
      <c r="O51" s="316"/>
      <c r="P51" s="316"/>
      <c r="Q51" s="316"/>
    </row>
    <row r="52" customFormat="false" ht="15" hidden="false" customHeight="false" outlineLevel="0" collapsed="false">
      <c r="I52" s="358"/>
      <c r="J52" s="358"/>
      <c r="K52" s="316"/>
      <c r="L52" s="316"/>
      <c r="M52" s="316"/>
      <c r="N52" s="316"/>
      <c r="O52" s="316"/>
      <c r="P52" s="316"/>
      <c r="Q52" s="316"/>
    </row>
    <row r="53" customFormat="false" ht="15" hidden="false" customHeight="false" outlineLevel="0" collapsed="false">
      <c r="I53" s="358"/>
      <c r="J53" s="358"/>
      <c r="K53" s="316"/>
      <c r="L53" s="316"/>
      <c r="M53" s="316"/>
      <c r="N53" s="316"/>
      <c r="O53" s="316"/>
      <c r="P53" s="316"/>
      <c r="Q53" s="316"/>
    </row>
    <row r="54" customFormat="false" ht="15" hidden="false" customHeight="false" outlineLevel="0" collapsed="false">
      <c r="I54" s="358"/>
      <c r="J54" s="358"/>
      <c r="K54" s="316"/>
      <c r="L54" s="316"/>
      <c r="M54" s="316"/>
      <c r="N54" s="316"/>
      <c r="O54" s="316"/>
      <c r="P54" s="316"/>
      <c r="Q54" s="316"/>
    </row>
    <row r="55" customFormat="false" ht="15" hidden="false" customHeight="false" outlineLevel="0" collapsed="false">
      <c r="I55" s="358"/>
      <c r="J55" s="358"/>
      <c r="K55" s="316"/>
      <c r="L55" s="316"/>
      <c r="M55" s="316"/>
      <c r="N55" s="316"/>
      <c r="O55" s="316"/>
      <c r="P55" s="316"/>
      <c r="Q55" s="316"/>
    </row>
    <row r="56" customFormat="false" ht="15" hidden="false" customHeight="false" outlineLevel="0" collapsed="false">
      <c r="I56" s="358"/>
      <c r="J56" s="358"/>
      <c r="K56" s="316"/>
      <c r="L56" s="316"/>
      <c r="M56" s="316"/>
      <c r="N56" s="316"/>
      <c r="O56" s="316"/>
      <c r="P56" s="316"/>
      <c r="Q56" s="316"/>
    </row>
    <row r="57" customFormat="false" ht="15" hidden="false" customHeight="false" outlineLevel="0" collapsed="false">
      <c r="I57" s="358"/>
      <c r="J57" s="358"/>
      <c r="K57" s="316"/>
      <c r="L57" s="316"/>
      <c r="M57" s="316"/>
      <c r="N57" s="316"/>
      <c r="O57" s="316"/>
      <c r="P57" s="316"/>
      <c r="Q57" s="316"/>
    </row>
    <row r="58" customFormat="false" ht="15" hidden="false" customHeight="false" outlineLevel="0" collapsed="false">
      <c r="I58" s="358"/>
      <c r="J58" s="358"/>
      <c r="K58" s="316"/>
      <c r="L58" s="316"/>
      <c r="M58" s="316"/>
      <c r="N58" s="316"/>
      <c r="O58" s="316"/>
      <c r="P58" s="316"/>
      <c r="Q58" s="316"/>
    </row>
    <row r="59" customFormat="false" ht="15" hidden="false" customHeight="false" outlineLevel="0" collapsed="false">
      <c r="I59" s="358"/>
      <c r="J59" s="358"/>
      <c r="K59" s="316"/>
      <c r="L59" s="316"/>
      <c r="M59" s="316"/>
      <c r="N59" s="316"/>
      <c r="O59" s="316"/>
      <c r="P59" s="316"/>
      <c r="Q59" s="316"/>
    </row>
    <row r="60" customFormat="false" ht="15" hidden="false" customHeight="false" outlineLevel="0" collapsed="false">
      <c r="I60" s="358"/>
      <c r="J60" s="358"/>
      <c r="K60" s="316"/>
      <c r="L60" s="316"/>
      <c r="M60" s="316"/>
      <c r="N60" s="316"/>
      <c r="O60" s="316"/>
      <c r="P60" s="316"/>
      <c r="Q60" s="316"/>
    </row>
    <row r="61" customFormat="false" ht="15" hidden="false" customHeight="false" outlineLevel="0" collapsed="false">
      <c r="I61" s="358"/>
      <c r="J61" s="358"/>
      <c r="K61" s="316"/>
      <c r="L61" s="316"/>
      <c r="M61" s="316"/>
      <c r="N61" s="316"/>
      <c r="O61" s="316"/>
      <c r="P61" s="316"/>
      <c r="Q61" s="316"/>
    </row>
    <row r="62" customFormat="false" ht="15" hidden="false" customHeight="false" outlineLevel="0" collapsed="false">
      <c r="I62" s="358"/>
      <c r="J62" s="358"/>
      <c r="K62" s="316"/>
      <c r="L62" s="316"/>
      <c r="M62" s="316"/>
      <c r="N62" s="316"/>
      <c r="O62" s="316"/>
      <c r="P62" s="316"/>
      <c r="Q62" s="316"/>
    </row>
    <row r="63" customFormat="false" ht="15" hidden="false" customHeight="false" outlineLevel="0" collapsed="false">
      <c r="I63" s="358"/>
      <c r="J63" s="358"/>
      <c r="K63" s="316"/>
      <c r="L63" s="316"/>
      <c r="M63" s="316"/>
      <c r="N63" s="316"/>
      <c r="O63" s="316"/>
      <c r="P63" s="316"/>
      <c r="Q63" s="316"/>
    </row>
    <row r="64" customFormat="false" ht="15" hidden="false" customHeight="false" outlineLevel="0" collapsed="false">
      <c r="I64" s="358"/>
      <c r="J64" s="358"/>
      <c r="K64" s="316"/>
      <c r="L64" s="316"/>
      <c r="M64" s="316"/>
      <c r="N64" s="316"/>
      <c r="O64" s="316"/>
      <c r="P64" s="316"/>
      <c r="Q64" s="316"/>
    </row>
    <row r="65" customFormat="false" ht="15" hidden="false" customHeight="false" outlineLevel="0" collapsed="false">
      <c r="I65" s="358"/>
      <c r="J65" s="358"/>
      <c r="K65" s="316"/>
      <c r="L65" s="316"/>
      <c r="M65" s="316"/>
      <c r="N65" s="316"/>
      <c r="O65" s="316"/>
      <c r="P65" s="316"/>
      <c r="Q65" s="316"/>
    </row>
    <row r="66" customFormat="false" ht="15" hidden="false" customHeight="false" outlineLevel="0" collapsed="false">
      <c r="I66" s="358"/>
      <c r="J66" s="358"/>
      <c r="K66" s="316"/>
      <c r="L66" s="316"/>
      <c r="M66" s="316"/>
      <c r="N66" s="316"/>
      <c r="O66" s="316"/>
      <c r="P66" s="316"/>
      <c r="Q66" s="316"/>
    </row>
    <row r="67" customFormat="false" ht="15" hidden="false" customHeight="false" outlineLevel="0" collapsed="false">
      <c r="I67" s="358"/>
      <c r="J67" s="358"/>
      <c r="K67" s="316"/>
      <c r="L67" s="316"/>
      <c r="M67" s="316"/>
      <c r="N67" s="316"/>
      <c r="O67" s="316"/>
      <c r="P67" s="316"/>
      <c r="Q67" s="316"/>
    </row>
    <row r="68" customFormat="false" ht="15" hidden="false" customHeight="false" outlineLevel="0" collapsed="false">
      <c r="I68" s="358"/>
      <c r="J68" s="358"/>
      <c r="K68" s="316"/>
      <c r="L68" s="316"/>
      <c r="M68" s="316"/>
      <c r="N68" s="316"/>
      <c r="O68" s="316"/>
      <c r="P68" s="316"/>
      <c r="Q68" s="316"/>
    </row>
    <row r="69" customFormat="false" ht="15" hidden="false" customHeight="false" outlineLevel="0" collapsed="false">
      <c r="I69" s="358"/>
      <c r="J69" s="358"/>
      <c r="K69" s="316"/>
      <c r="L69" s="316"/>
      <c r="M69" s="316"/>
      <c r="N69" s="316"/>
      <c r="O69" s="316"/>
      <c r="P69" s="316"/>
      <c r="Q69" s="316"/>
    </row>
    <row r="70" customFormat="false" ht="15" hidden="false" customHeight="false" outlineLevel="0" collapsed="false">
      <c r="I70" s="358"/>
      <c r="J70" s="358"/>
      <c r="K70" s="316"/>
      <c r="L70" s="316"/>
      <c r="M70" s="316"/>
      <c r="N70" s="316"/>
      <c r="O70" s="316"/>
      <c r="P70" s="316"/>
      <c r="Q70" s="316"/>
    </row>
    <row r="71" customFormat="false" ht="15" hidden="false" customHeight="false" outlineLevel="0" collapsed="false">
      <c r="I71" s="358"/>
      <c r="J71" s="358"/>
      <c r="K71" s="316"/>
      <c r="L71" s="316"/>
      <c r="M71" s="316"/>
      <c r="N71" s="316"/>
      <c r="O71" s="316"/>
      <c r="P71" s="316"/>
      <c r="Q71" s="316"/>
    </row>
    <row r="72" customFormat="false" ht="15" hidden="false" customHeight="false" outlineLevel="0" collapsed="false">
      <c r="I72" s="358"/>
      <c r="J72" s="358"/>
      <c r="K72" s="316"/>
      <c r="L72" s="316"/>
      <c r="M72" s="316"/>
      <c r="N72" s="316"/>
      <c r="O72" s="316"/>
      <c r="P72" s="316"/>
      <c r="Q72" s="316"/>
    </row>
    <row r="73" customFormat="false" ht="15" hidden="false" customHeight="false" outlineLevel="0" collapsed="false">
      <c r="I73" s="358"/>
      <c r="J73" s="358"/>
      <c r="K73" s="316"/>
      <c r="L73" s="316"/>
      <c r="M73" s="316"/>
      <c r="N73" s="316"/>
      <c r="O73" s="316"/>
      <c r="P73" s="316"/>
      <c r="Q73" s="316"/>
    </row>
    <row r="74" customFormat="false" ht="15" hidden="false" customHeight="false" outlineLevel="0" collapsed="false">
      <c r="I74" s="358"/>
      <c r="J74" s="358"/>
      <c r="K74" s="316"/>
      <c r="L74" s="316"/>
      <c r="M74" s="316"/>
      <c r="N74" s="316"/>
      <c r="O74" s="316"/>
      <c r="P74" s="316"/>
      <c r="Q74" s="316"/>
    </row>
    <row r="75" customFormat="false" ht="15" hidden="false" customHeight="false" outlineLevel="0" collapsed="false">
      <c r="I75" s="358"/>
      <c r="J75" s="358"/>
      <c r="K75" s="316"/>
      <c r="L75" s="316"/>
      <c r="M75" s="316"/>
      <c r="N75" s="316"/>
      <c r="O75" s="316"/>
      <c r="P75" s="316"/>
      <c r="Q75" s="316"/>
    </row>
    <row r="76" customFormat="false" ht="15" hidden="false" customHeight="false" outlineLevel="0" collapsed="false">
      <c r="I76" s="358"/>
      <c r="J76" s="358"/>
      <c r="K76" s="316"/>
      <c r="L76" s="316"/>
      <c r="M76" s="316"/>
      <c r="N76" s="316"/>
      <c r="O76" s="316"/>
      <c r="P76" s="316"/>
      <c r="Q76" s="316"/>
    </row>
    <row r="77" customFormat="false" ht="15" hidden="false" customHeight="false" outlineLevel="0" collapsed="false">
      <c r="I77" s="358"/>
      <c r="J77" s="358"/>
      <c r="K77" s="316"/>
      <c r="L77" s="316"/>
      <c r="M77" s="316"/>
      <c r="N77" s="316"/>
      <c r="O77" s="316"/>
      <c r="P77" s="316"/>
      <c r="Q77" s="316"/>
    </row>
    <row r="78" customFormat="false" ht="15" hidden="false" customHeight="false" outlineLevel="0" collapsed="false">
      <c r="I78" s="358"/>
      <c r="J78" s="358"/>
      <c r="K78" s="316"/>
      <c r="L78" s="316"/>
      <c r="M78" s="316"/>
      <c r="N78" s="316"/>
      <c r="O78" s="316"/>
      <c r="P78" s="316"/>
      <c r="Q78" s="316"/>
    </row>
    <row r="79" customFormat="false" ht="15" hidden="false" customHeight="false" outlineLevel="0" collapsed="false">
      <c r="I79" s="358"/>
      <c r="J79" s="358"/>
      <c r="K79" s="316"/>
      <c r="L79" s="316"/>
      <c r="M79" s="316"/>
      <c r="N79" s="316"/>
      <c r="O79" s="316"/>
      <c r="P79" s="316"/>
      <c r="Q79" s="316"/>
    </row>
    <row r="80" customFormat="false" ht="15" hidden="false" customHeight="false" outlineLevel="0" collapsed="false">
      <c r="I80" s="358"/>
      <c r="J80" s="358"/>
      <c r="K80" s="316"/>
      <c r="L80" s="316"/>
      <c r="M80" s="316"/>
      <c r="N80" s="316"/>
      <c r="O80" s="316"/>
      <c r="P80" s="316"/>
      <c r="Q80" s="316"/>
    </row>
    <row r="81" customFormat="false" ht="15" hidden="false" customHeight="false" outlineLevel="0" collapsed="false">
      <c r="I81" s="358"/>
      <c r="J81" s="358"/>
      <c r="K81" s="316"/>
      <c r="L81" s="316"/>
      <c r="M81" s="316"/>
      <c r="N81" s="316"/>
      <c r="O81" s="316"/>
      <c r="P81" s="316"/>
      <c r="Q81" s="316"/>
    </row>
    <row r="82" customFormat="false" ht="15" hidden="false" customHeight="false" outlineLevel="0" collapsed="false">
      <c r="I82" s="358"/>
      <c r="J82" s="358"/>
      <c r="K82" s="316"/>
      <c r="L82" s="316"/>
      <c r="M82" s="316"/>
      <c r="N82" s="316"/>
      <c r="O82" s="316"/>
      <c r="P82" s="316"/>
      <c r="Q82" s="316"/>
    </row>
    <row r="83" customFormat="false" ht="15" hidden="false" customHeight="false" outlineLevel="0" collapsed="false">
      <c r="I83" s="358"/>
      <c r="J83" s="358"/>
      <c r="K83" s="316"/>
      <c r="L83" s="316"/>
      <c r="M83" s="316"/>
      <c r="N83" s="316"/>
      <c r="O83" s="316"/>
      <c r="P83" s="316"/>
      <c r="Q83" s="316"/>
    </row>
    <row r="84" customFormat="false" ht="15" hidden="false" customHeight="false" outlineLevel="0" collapsed="false">
      <c r="I84" s="358"/>
      <c r="J84" s="358"/>
      <c r="K84" s="316"/>
      <c r="L84" s="316"/>
      <c r="M84" s="316"/>
      <c r="N84" s="316"/>
      <c r="O84" s="316"/>
      <c r="P84" s="316"/>
      <c r="Q84" s="316"/>
    </row>
    <row r="85" customFormat="false" ht="15" hidden="false" customHeight="false" outlineLevel="0" collapsed="false">
      <c r="I85" s="358"/>
      <c r="J85" s="358"/>
      <c r="K85" s="316"/>
      <c r="L85" s="316"/>
      <c r="M85" s="316"/>
      <c r="N85" s="316"/>
      <c r="O85" s="316"/>
      <c r="P85" s="316"/>
      <c r="Q85" s="316"/>
    </row>
    <row r="86" customFormat="false" ht="15" hidden="false" customHeight="false" outlineLevel="0" collapsed="false">
      <c r="I86" s="358"/>
      <c r="J86" s="358"/>
      <c r="K86" s="316"/>
      <c r="L86" s="316"/>
      <c r="M86" s="316"/>
      <c r="N86" s="316"/>
      <c r="O86" s="316"/>
      <c r="P86" s="316"/>
      <c r="Q86" s="316"/>
    </row>
    <row r="87" customFormat="false" ht="15" hidden="false" customHeight="false" outlineLevel="0" collapsed="false">
      <c r="I87" s="358"/>
      <c r="J87" s="358"/>
      <c r="K87" s="316"/>
      <c r="L87" s="316"/>
      <c r="M87" s="316"/>
      <c r="N87" s="316"/>
      <c r="O87" s="316"/>
      <c r="P87" s="316"/>
      <c r="Q87" s="316"/>
    </row>
    <row r="88" customFormat="false" ht="15" hidden="false" customHeight="false" outlineLevel="0" collapsed="false">
      <c r="I88" s="358"/>
      <c r="J88" s="358"/>
      <c r="K88" s="316"/>
      <c r="L88" s="316"/>
      <c r="M88" s="316"/>
      <c r="N88" s="316"/>
      <c r="O88" s="316"/>
      <c r="P88" s="316"/>
      <c r="Q88" s="316"/>
    </row>
    <row r="89" customFormat="false" ht="15" hidden="false" customHeight="false" outlineLevel="0" collapsed="false">
      <c r="I89" s="358"/>
      <c r="J89" s="358"/>
      <c r="K89" s="316"/>
      <c r="L89" s="316"/>
      <c r="M89" s="316"/>
      <c r="N89" s="316"/>
      <c r="O89" s="316"/>
      <c r="P89" s="316"/>
      <c r="Q89" s="316"/>
    </row>
    <row r="90" customFormat="false" ht="15" hidden="false" customHeight="false" outlineLevel="0" collapsed="false">
      <c r="I90" s="358"/>
      <c r="J90" s="358"/>
      <c r="K90" s="316"/>
      <c r="L90" s="316"/>
      <c r="M90" s="316"/>
      <c r="N90" s="316"/>
      <c r="O90" s="316"/>
      <c r="P90" s="316"/>
      <c r="Q90" s="316"/>
    </row>
    <row r="91" customFormat="false" ht="15" hidden="false" customHeight="false" outlineLevel="0" collapsed="false">
      <c r="I91" s="358"/>
      <c r="J91" s="358"/>
      <c r="K91" s="316"/>
      <c r="L91" s="316"/>
      <c r="M91" s="316"/>
      <c r="N91" s="316"/>
      <c r="O91" s="316"/>
      <c r="P91" s="316"/>
      <c r="Q91" s="316"/>
    </row>
    <row r="92" customFormat="false" ht="15" hidden="false" customHeight="false" outlineLevel="0" collapsed="false">
      <c r="I92" s="358"/>
      <c r="J92" s="358"/>
      <c r="K92" s="316"/>
      <c r="L92" s="316"/>
      <c r="M92" s="316"/>
      <c r="N92" s="316"/>
      <c r="O92" s="316"/>
      <c r="P92" s="316"/>
      <c r="Q92" s="316"/>
    </row>
    <row r="93" customFormat="false" ht="15" hidden="false" customHeight="false" outlineLevel="0" collapsed="false">
      <c r="I93" s="358"/>
      <c r="J93" s="358"/>
      <c r="K93" s="316"/>
      <c r="L93" s="316"/>
      <c r="M93" s="316"/>
      <c r="N93" s="316"/>
      <c r="O93" s="316"/>
      <c r="P93" s="316"/>
      <c r="Q93" s="316"/>
    </row>
    <row r="94" customFormat="false" ht="15" hidden="false" customHeight="false" outlineLevel="0" collapsed="false">
      <c r="I94" s="358"/>
      <c r="J94" s="358"/>
      <c r="K94" s="316"/>
      <c r="L94" s="316"/>
      <c r="M94" s="316"/>
      <c r="N94" s="316"/>
      <c r="O94" s="316"/>
      <c r="P94" s="316"/>
      <c r="Q94" s="316"/>
    </row>
    <row r="95" customFormat="false" ht="15" hidden="false" customHeight="false" outlineLevel="0" collapsed="false">
      <c r="I95" s="358"/>
      <c r="J95" s="358"/>
      <c r="K95" s="316"/>
      <c r="L95" s="316"/>
      <c r="M95" s="316"/>
      <c r="N95" s="316"/>
      <c r="O95" s="316"/>
      <c r="P95" s="316"/>
      <c r="Q95" s="316"/>
    </row>
  </sheetData>
  <sheetProtection sheet="true" password="d3f5" objects="true" scenarios="true" selectLockedCells="true"/>
  <mergeCells count="13">
    <mergeCell ref="B1:S2"/>
    <mergeCell ref="B7:C7"/>
    <mergeCell ref="B8:C8"/>
    <mergeCell ref="K17:N17"/>
    <mergeCell ref="O17:Q17"/>
    <mergeCell ref="E18:F18"/>
    <mergeCell ref="K18:N18"/>
    <mergeCell ref="K19:N19"/>
    <mergeCell ref="K20:N20"/>
    <mergeCell ref="K21:N21"/>
    <mergeCell ref="K22:N22"/>
    <mergeCell ref="K23:N23"/>
    <mergeCell ref="K24:N24"/>
  </mergeCells>
  <conditionalFormatting sqref="G7:G16">
    <cfRule type="cellIs" priority="2" operator="equal" aboveAverage="0" equalAverage="0" bottom="0" percent="0" rank="0" text="" dxfId="4">
      <formula>"None"</formula>
    </cfRule>
  </conditionalFormatting>
  <dataValidations count="5">
    <dataValidation allowBlank="true" error="Must Select A Drop Down Choice Here" errorStyle="stop" errorTitle="Select From Drop Down" operator="equal" showDropDown="false" showErrorMessage="true" showInputMessage="false" sqref="G7:G16" type="list">
      <formula1>'IBU Calculator'!$G$17:$G$19</formula1>
      <formula2>0</formula2>
    </dataValidation>
    <dataValidation allowBlank="true" error="Must be 180 min. or less&#10;" errorStyle="stop" errorTitle="Maximum Boil Time" operator="lessThanOrEqual" showDropDown="false" showErrorMessage="true" showInputMessage="false" sqref="O18" type="decimal">
      <formula1>180</formula1>
      <formula2>0</formula2>
    </dataValidation>
    <dataValidation allowBlank="true" error="Can Not Exceed Max Boil Time" errorStyle="stop" errorTitle="Maximum Hop Boil Time" operator="lessThanOrEqual" showDropDown="false" showErrorMessage="true" showInputMessage="false" sqref="L7:L16" type="none">
      <formula1>$L$19</formula1>
      <formula2>0</formula2>
    </dataValidation>
    <dataValidation allowBlank="true" error="Must enter 1, 2, or 3&#10;" errorStyle="stop" errorTitle="Error" operator="between" showDropDown="false" showErrorMessage="true" showInputMessage="false" sqref="B14" type="whole">
      <formula1>1</formula1>
      <formula2>3</formula2>
    </dataValidation>
    <dataValidation allowBlank="true" error="Can Not Exceed Max Boil Time" errorStyle="stop" errorTitle="Maximum Hop Boil Time" operator="lessThanOrEqual" showDropDown="false" showErrorMessage="true" showInputMessage="false" sqref="K7:K16" type="decimal">
      <formula1>$O$18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1:L51"/>
  <sheetViews>
    <sheetView showFormulas="false" showGridLines="false" showRowColHeaders="false" showZeros="true" rightToLeft="false" tabSelected="false" showOutlineSymbols="false" defaultGridColor="true" view="normal" topLeftCell="A1" colorId="64" zoomScale="75" zoomScaleNormal="75" zoomScalePageLayoutView="100" workbookViewId="0">
      <selection pane="topLeft" activeCell="E11" activeCellId="0" sqref="E11"/>
    </sheetView>
  </sheetViews>
  <sheetFormatPr defaultColWidth="11.35546875" defaultRowHeight="12.8" zeroHeight="false" outlineLevelRow="0" outlineLevelCol="0"/>
  <cols>
    <col collapsed="false" customWidth="true" hidden="false" outlineLevel="0" max="1" min="1" style="224" width="9.33"/>
    <col collapsed="false" customWidth="true" hidden="false" outlineLevel="0" max="2" min="2" style="224" width="20.37"/>
    <col collapsed="false" customWidth="true" hidden="false" outlineLevel="0" max="3" min="3" style="224" width="24.84"/>
    <col collapsed="false" customWidth="true" hidden="false" outlineLevel="0" max="4" min="4" style="224" width="31.86"/>
    <col collapsed="false" customWidth="true" hidden="false" outlineLevel="0" max="10" min="5" style="224" width="21.73"/>
    <col collapsed="false" customWidth="false" hidden="false" outlineLevel="0" max="1015" min="11" style="224" width="11.34"/>
  </cols>
  <sheetData>
    <row r="1" customFormat="false" ht="20.65" hidden="false" customHeight="true" outlineLevel="0" collapsed="false"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customFormat="false" ht="20.65" hidden="false" customHeight="true" outlineLevel="0" collapsed="false"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customFormat="false" ht="20.65" hidden="false" customHeight="true" outlineLevel="0" collapsed="false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customFormat="false" ht="20.65" hidden="false" customHeight="true" outlineLevel="0" collapsed="false">
      <c r="B4" s="4"/>
      <c r="C4" s="4"/>
      <c r="D4" s="388" t="s">
        <v>365</v>
      </c>
      <c r="E4" s="388"/>
      <c r="F4" s="388"/>
      <c r="G4" s="388"/>
      <c r="H4" s="388"/>
      <c r="I4" s="388"/>
      <c r="J4" s="4"/>
      <c r="K4" s="4"/>
      <c r="L4" s="4"/>
    </row>
    <row r="5" customFormat="false" ht="23.9" hidden="false" customHeight="true" outlineLevel="0" collapsed="false">
      <c r="B5" s="4"/>
      <c r="C5" s="4"/>
      <c r="D5" s="388"/>
      <c r="E5" s="388"/>
      <c r="F5" s="388"/>
      <c r="G5" s="388"/>
      <c r="H5" s="388"/>
      <c r="I5" s="388"/>
      <c r="J5" s="4"/>
      <c r="K5" s="4"/>
      <c r="L5" s="4"/>
    </row>
    <row r="6" customFormat="false" ht="23.9" hidden="false" customHeight="true" outlineLevel="0" collapsed="false">
      <c r="B6" s="4"/>
      <c r="C6" s="389" t="s">
        <v>366</v>
      </c>
      <c r="D6" s="389"/>
      <c r="E6" s="389"/>
      <c r="F6" s="389"/>
      <c r="G6" s="389"/>
      <c r="H6" s="389"/>
      <c r="I6" s="389"/>
      <c r="J6" s="389"/>
      <c r="K6" s="389"/>
      <c r="L6" s="4"/>
    </row>
    <row r="7" customFormat="false" ht="22.8" hidden="false" customHeight="true" outlineLevel="0" collapsed="false">
      <c r="B7" s="4"/>
      <c r="C7" s="389"/>
      <c r="D7" s="389"/>
      <c r="E7" s="389"/>
      <c r="F7" s="389"/>
      <c r="G7" s="389"/>
      <c r="H7" s="389"/>
      <c r="I7" s="389"/>
      <c r="J7" s="389"/>
      <c r="K7" s="389"/>
      <c r="L7" s="4"/>
    </row>
    <row r="8" customFormat="false" ht="23.9" hidden="false" customHeight="true" outlineLevel="0" collapsed="false">
      <c r="B8" s="4"/>
      <c r="C8" s="390"/>
      <c r="D8" s="390"/>
      <c r="E8" s="390"/>
      <c r="F8" s="390"/>
      <c r="G8" s="390"/>
      <c r="H8" s="390"/>
      <c r="I8" s="390"/>
      <c r="J8" s="390"/>
      <c r="K8" s="390"/>
      <c r="L8" s="4"/>
    </row>
    <row r="9" customFormat="false" ht="23.9" hidden="false" customHeight="true" outlineLevel="0" collapsed="false">
      <c r="B9" s="4"/>
      <c r="C9" s="187"/>
      <c r="D9" s="391" t="s">
        <v>367</v>
      </c>
      <c r="E9" s="391" t="s">
        <v>13</v>
      </c>
      <c r="F9" s="391" t="s">
        <v>13</v>
      </c>
      <c r="G9" s="391" t="s">
        <v>13</v>
      </c>
      <c r="H9" s="391" t="s">
        <v>13</v>
      </c>
      <c r="I9" s="391" t="s">
        <v>13</v>
      </c>
      <c r="J9" s="392"/>
      <c r="K9" s="4"/>
      <c r="L9" s="4"/>
    </row>
    <row r="10" customFormat="false" ht="23.9" hidden="false" customHeight="true" outlineLevel="0" collapsed="false">
      <c r="B10" s="4"/>
      <c r="C10" s="105"/>
      <c r="D10" s="391" t="s">
        <v>201</v>
      </c>
      <c r="E10" s="391" t="s">
        <v>368</v>
      </c>
      <c r="F10" s="391" t="s">
        <v>369</v>
      </c>
      <c r="G10" s="391" t="s">
        <v>370</v>
      </c>
      <c r="H10" s="391" t="s">
        <v>371</v>
      </c>
      <c r="I10" s="391" t="s">
        <v>372</v>
      </c>
      <c r="J10" s="392"/>
      <c r="K10" s="4"/>
      <c r="L10" s="4"/>
    </row>
    <row r="11" customFormat="false" ht="23.9" hidden="false" customHeight="true" outlineLevel="0" collapsed="false">
      <c r="B11" s="4"/>
      <c r="C11" s="105"/>
      <c r="D11" s="393" t="s">
        <v>373</v>
      </c>
      <c r="E11" s="394" t="n">
        <f aca="false">'Mash pH'!O14/9*VLOOKUP(D11,D24:I34,2)</f>
        <v>4.48461111111111</v>
      </c>
      <c r="F11" s="394" t="n">
        <f aca="false">'Mash pH'!O14/9*VLOOKUP(D11,D24:I34,3)</f>
        <v>2.79076232523915</v>
      </c>
      <c r="G11" s="394" t="n">
        <f aca="false">'Mash pH'!O14/9*VLOOKUP(D11,D24:I34,4)</f>
        <v>0.494444444444444</v>
      </c>
      <c r="H11" s="394" t="n">
        <f aca="false">'Mash pH'!O14/9*VLOOKUP(D11,D24:I34,5)</f>
        <v>0</v>
      </c>
      <c r="I11" s="394" t="n">
        <f aca="false">'Mash pH'!M14/9*VLOOKUP(D11,D24:I34,6)</f>
        <v>0</v>
      </c>
      <c r="J11" s="395"/>
      <c r="K11" s="4"/>
      <c r="L11" s="4"/>
    </row>
    <row r="12" customFormat="false" ht="23.9" hidden="false" customHeight="true" outlineLevel="0" collapsed="false">
      <c r="B12" s="4"/>
      <c r="C12" s="187"/>
      <c r="D12" s="187"/>
      <c r="E12" s="187"/>
      <c r="F12" s="187"/>
      <c r="G12" s="187"/>
      <c r="H12" s="187"/>
      <c r="I12" s="187"/>
      <c r="J12" s="187"/>
      <c r="K12" s="4"/>
      <c r="L12" s="4"/>
    </row>
    <row r="13" customFormat="false" ht="23.9" hidden="false" customHeight="true" outlineLevel="0" collapsed="false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customFormat="false" ht="23.9" hidden="false" customHeight="true" outlineLevel="0" collapsed="false">
      <c r="B14" s="396" t="s">
        <v>374</v>
      </c>
      <c r="C14" s="396"/>
      <c r="D14" s="396"/>
      <c r="E14" s="396"/>
      <c r="F14" s="396"/>
      <c r="G14" s="396"/>
      <c r="H14" s="396"/>
      <c r="I14" s="396"/>
      <c r="J14" s="396"/>
      <c r="K14" s="396"/>
      <c r="L14" s="396"/>
    </row>
    <row r="15" customFormat="false" ht="23.9" hidden="false" customHeight="true" outlineLevel="0" collapsed="false">
      <c r="B15" s="397"/>
      <c r="C15" s="397"/>
      <c r="D15" s="397"/>
      <c r="E15" s="397"/>
      <c r="F15" s="397"/>
      <c r="G15" s="397"/>
      <c r="H15" s="397"/>
      <c r="I15" s="397"/>
      <c r="J15" s="397"/>
      <c r="K15" s="397"/>
      <c r="L15" s="397"/>
    </row>
    <row r="16" customFormat="false" ht="23.9" hidden="false" customHeight="true" outlineLevel="0" collapsed="false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customFormat="false" ht="23.9" hidden="false" customHeight="true" outlineLevel="0" collapsed="false">
      <c r="B17" s="396" t="s">
        <v>375</v>
      </c>
      <c r="C17" s="396"/>
      <c r="D17" s="396"/>
      <c r="E17" s="396"/>
      <c r="F17" s="396"/>
      <c r="G17" s="396"/>
      <c r="H17" s="396"/>
      <c r="I17" s="396"/>
      <c r="J17" s="396"/>
      <c r="K17" s="396"/>
      <c r="L17" s="396"/>
    </row>
    <row r="18" customFormat="false" ht="23.9" hidden="false" customHeight="true" outlineLevel="0" collapsed="false">
      <c r="C18" s="4"/>
      <c r="D18" s="4"/>
      <c r="E18" s="4"/>
      <c r="F18" s="4"/>
      <c r="G18" s="4"/>
      <c r="H18" s="4"/>
      <c r="I18" s="4"/>
      <c r="J18" s="4"/>
    </row>
    <row r="19" customFormat="false" ht="23.9" hidden="false" customHeight="true" outlineLevel="0" collapsed="false">
      <c r="C19" s="398"/>
      <c r="D19" s="398"/>
      <c r="E19" s="398"/>
      <c r="F19" s="398"/>
      <c r="G19" s="398"/>
      <c r="H19" s="398"/>
      <c r="I19" s="398"/>
      <c r="J19" s="4"/>
    </row>
    <row r="20" customFormat="false" ht="23.9" hidden="false" customHeight="true" outlineLevel="0" collapsed="false">
      <c r="C20" s="398"/>
      <c r="D20" s="398"/>
      <c r="E20" s="398"/>
      <c r="F20" s="398"/>
      <c r="G20" s="398"/>
      <c r="H20" s="398"/>
      <c r="I20" s="398"/>
      <c r="J20" s="4"/>
    </row>
    <row r="21" customFormat="false" ht="23.9" hidden="false" customHeight="true" outlineLevel="0" collapsed="false">
      <c r="C21" s="398"/>
      <c r="D21" s="399"/>
      <c r="E21" s="399"/>
      <c r="F21" s="399"/>
      <c r="G21" s="399"/>
      <c r="H21" s="399"/>
      <c r="I21" s="399"/>
      <c r="J21" s="4"/>
    </row>
    <row r="22" customFormat="false" ht="23.9" hidden="false" customHeight="true" outlineLevel="0" collapsed="false">
      <c r="C22" s="400"/>
      <c r="D22" s="401"/>
      <c r="E22" s="401"/>
      <c r="F22" s="401"/>
      <c r="G22" s="401"/>
      <c r="H22" s="401"/>
      <c r="I22" s="401"/>
      <c r="J22" s="399"/>
    </row>
    <row r="23" customFormat="false" ht="23.9" hidden="false" customHeight="true" outlineLevel="0" collapsed="false">
      <c r="C23" s="218"/>
      <c r="D23" s="401"/>
      <c r="E23" s="401" t="s">
        <v>368</v>
      </c>
      <c r="F23" s="401" t="s">
        <v>369</v>
      </c>
      <c r="G23" s="401" t="s">
        <v>370</v>
      </c>
      <c r="H23" s="401" t="s">
        <v>371</v>
      </c>
      <c r="I23" s="401" t="s">
        <v>376</v>
      </c>
      <c r="J23" s="399"/>
    </row>
    <row r="24" customFormat="false" ht="23.9" hidden="false" customHeight="true" outlineLevel="0" collapsed="false">
      <c r="C24" s="401"/>
      <c r="D24" s="402" t="s">
        <v>377</v>
      </c>
      <c r="E24" s="403" t="n">
        <v>3.125</v>
      </c>
      <c r="F24" s="403" t="n">
        <f aca="false">5.3715*74.5/(100*'CaCl2 Selector'!E10)</f>
        <v>5.30035430463576</v>
      </c>
      <c r="G24" s="403" t="n">
        <v>2.0862</v>
      </c>
      <c r="H24" s="403" t="n">
        <v>0</v>
      </c>
      <c r="I24" s="403" t="n">
        <v>4</v>
      </c>
      <c r="J24" s="399"/>
    </row>
    <row r="25" customFormat="false" ht="23.9" hidden="false" customHeight="true" outlineLevel="0" collapsed="false">
      <c r="C25" s="401"/>
      <c r="D25" s="402" t="s">
        <v>378</v>
      </c>
      <c r="E25" s="403" t="n">
        <v>3.109</v>
      </c>
      <c r="F25" s="403" t="n">
        <f aca="false">3.643*74.5/(100*'CaCl2 Selector'!E10)</f>
        <v>3.59474834437086</v>
      </c>
      <c r="G25" s="403" t="n">
        <v>0</v>
      </c>
      <c r="H25" s="403" t="n">
        <v>0</v>
      </c>
      <c r="I25" s="403" t="n">
        <v>0</v>
      </c>
      <c r="J25" s="399"/>
    </row>
    <row r="26" customFormat="false" ht="23.9" hidden="false" customHeight="true" outlineLevel="0" collapsed="false">
      <c r="C26" s="401"/>
      <c r="D26" s="402" t="s">
        <v>379</v>
      </c>
      <c r="E26" s="403" t="n">
        <v>2.6357</v>
      </c>
      <c r="F26" s="403" t="n">
        <f aca="false">4.2962*74.5/(100*'CaCl2 Selector'!E10)</f>
        <v>4.23929668874172</v>
      </c>
      <c r="G26" s="403" t="n">
        <v>1.4743</v>
      </c>
      <c r="H26" s="403" t="n">
        <v>0</v>
      </c>
      <c r="I26" s="403" t="n">
        <v>1.1429</v>
      </c>
      <c r="J26" s="399"/>
    </row>
    <row r="27" customFormat="false" ht="23.9" hidden="false" customHeight="true" outlineLevel="0" collapsed="false">
      <c r="C27" s="401"/>
      <c r="D27" s="402" t="s">
        <v>380</v>
      </c>
      <c r="E27" s="403" t="n">
        <v>5.375</v>
      </c>
      <c r="F27" s="403" t="n">
        <f aca="false">3.58*74.5/(100*'CaCl2 Selector'!E10)</f>
        <v>3.53258278145695</v>
      </c>
      <c r="G27" s="403" t="n">
        <v>1.05</v>
      </c>
      <c r="H27" s="403" t="n">
        <v>0</v>
      </c>
      <c r="I27" s="403" t="n">
        <v>4</v>
      </c>
      <c r="J27" s="399"/>
    </row>
    <row r="28" customFormat="false" ht="23.9" hidden="false" customHeight="true" outlineLevel="0" collapsed="false">
      <c r="C28" s="401"/>
      <c r="D28" s="402" t="s">
        <v>373</v>
      </c>
      <c r="E28" s="403" t="n">
        <v>4.535</v>
      </c>
      <c r="F28" s="403" t="n">
        <f aca="false">2.86*74.5/(100*'CaCl2 Selector'!E10)</f>
        <v>2.82211920529801</v>
      </c>
      <c r="G28" s="403" t="n">
        <v>0.5</v>
      </c>
      <c r="H28" s="403" t="n">
        <v>0</v>
      </c>
      <c r="I28" s="403" t="n">
        <v>0</v>
      </c>
      <c r="J28" s="399"/>
    </row>
    <row r="29" customFormat="false" ht="23.9" hidden="false" customHeight="true" outlineLevel="0" collapsed="false">
      <c r="C29" s="401"/>
      <c r="D29" s="402" t="s">
        <v>381</v>
      </c>
      <c r="E29" s="403" t="n">
        <v>4.163</v>
      </c>
      <c r="F29" s="403" t="n">
        <f aca="false">2.865*74.5/(100*'CaCl2 Selector'!E10)</f>
        <v>2.82705298013245</v>
      </c>
      <c r="G29" s="403" t="n">
        <v>1.0332</v>
      </c>
      <c r="H29" s="403" t="n">
        <v>0</v>
      </c>
      <c r="I29" s="403" t="n">
        <v>1.1429</v>
      </c>
      <c r="J29" s="399"/>
    </row>
    <row r="30" customFormat="false" ht="23.9" hidden="false" customHeight="true" outlineLevel="0" collapsed="false">
      <c r="C30" s="401"/>
      <c r="D30" s="402" t="s">
        <v>382</v>
      </c>
      <c r="E30" s="403" t="n">
        <v>2.067</v>
      </c>
      <c r="F30" s="403" t="n">
        <f aca="false">7.16*74.5/(100*'CaCl2 Selector'!E10)</f>
        <v>7.06516556291391</v>
      </c>
      <c r="G30" s="403" t="n">
        <v>1.412</v>
      </c>
      <c r="H30" s="403" t="n">
        <v>0</v>
      </c>
      <c r="I30" s="403" t="n">
        <v>4</v>
      </c>
      <c r="J30" s="399"/>
    </row>
    <row r="31" customFormat="false" ht="23.9" hidden="false" customHeight="true" outlineLevel="0" collapsed="false">
      <c r="C31" s="401"/>
      <c r="D31" s="402" t="s">
        <v>383</v>
      </c>
      <c r="E31" s="403" t="n">
        <v>1.7921</v>
      </c>
      <c r="F31" s="403" t="n">
        <f aca="false">5.008*74.5/(100*'CaCl2 Selector'!E10)</f>
        <v>4.94166887417219</v>
      </c>
      <c r="G31" s="403" t="n">
        <v>0.495</v>
      </c>
      <c r="H31" s="403" t="n">
        <v>0</v>
      </c>
      <c r="I31" s="403" t="n">
        <v>0</v>
      </c>
      <c r="J31" s="399"/>
    </row>
    <row r="32" customFormat="false" ht="23.9" hidden="false" customHeight="true" outlineLevel="0" collapsed="false">
      <c r="C32" s="401"/>
      <c r="D32" s="402" t="s">
        <v>384</v>
      </c>
      <c r="E32" s="403" t="n">
        <v>1.485</v>
      </c>
      <c r="F32" s="403" t="n">
        <f aca="false">5.7288*74.5/(100*'CaCl2 Selector'!E10)</f>
        <v>5.65292185430464</v>
      </c>
      <c r="G32" s="403" t="n">
        <v>1.37</v>
      </c>
      <c r="H32" s="403" t="n">
        <v>0</v>
      </c>
      <c r="I32" s="403" t="n">
        <v>1.1429</v>
      </c>
      <c r="J32" s="399"/>
    </row>
    <row r="33" customFormat="false" ht="23.9" hidden="false" customHeight="true" outlineLevel="0" collapsed="false">
      <c r="C33" s="401"/>
      <c r="D33" s="402" t="s">
        <v>385</v>
      </c>
      <c r="E33" s="403" t="n">
        <v>2.645</v>
      </c>
      <c r="F33" s="403" t="n">
        <f aca="false">8.0606*74.5/(100*'CaCl2 Selector'!E10)</f>
        <v>7.95383708609272</v>
      </c>
      <c r="G33" s="403" t="n">
        <v>2.77</v>
      </c>
      <c r="H33" s="403" t="n">
        <v>2.101</v>
      </c>
      <c r="I33" s="403" t="n">
        <v>0</v>
      </c>
      <c r="J33" s="399"/>
    </row>
    <row r="34" customFormat="false" ht="23.9" hidden="false" customHeight="true" outlineLevel="0" collapsed="false">
      <c r="C34" s="401"/>
      <c r="D34" s="402" t="s">
        <v>386</v>
      </c>
      <c r="E34" s="403" t="n">
        <v>7.47</v>
      </c>
      <c r="F34" s="403" t="n">
        <f aca="false">3.1494*74.5/(100*'CaCl2 Selector'!E10)</f>
        <v>3.10768609271523</v>
      </c>
      <c r="G34" s="403" t="n">
        <v>2.42</v>
      </c>
      <c r="H34" s="403" t="n">
        <v>1.7463</v>
      </c>
      <c r="I34" s="403" t="n">
        <v>0</v>
      </c>
      <c r="J34" s="399"/>
    </row>
    <row r="42" customFormat="false" ht="18.45" hidden="false" customHeight="true" outlineLevel="0" collapsed="false"/>
    <row r="43" customFormat="false" ht="18.45" hidden="false" customHeight="true" outlineLevel="0" collapsed="false"/>
    <row r="44" customFormat="false" ht="18.45" hidden="false" customHeight="true" outlineLevel="0" collapsed="false"/>
    <row r="45" customFormat="false" ht="18.45" hidden="false" customHeight="true" outlineLevel="0" collapsed="false"/>
    <row r="46" customFormat="false" ht="18.45" hidden="false" customHeight="true" outlineLevel="0" collapsed="false"/>
    <row r="47" customFormat="false" ht="18.45" hidden="false" customHeight="true" outlineLevel="0" collapsed="false"/>
    <row r="48" customFormat="false" ht="18.45" hidden="false" customHeight="true" outlineLevel="0" collapsed="false"/>
    <row r="49" customFormat="false" ht="18.45" hidden="false" customHeight="true" outlineLevel="0" collapsed="false"/>
    <row r="50" customFormat="false" ht="18.45" hidden="false" customHeight="true" outlineLevel="0" collapsed="false"/>
    <row r="51" customFormat="false" ht="18.45" hidden="false" customHeight="true" outlineLevel="0" collapsed="false"/>
  </sheetData>
  <sheetProtection sheet="true" password="d3f5" objects="true" scenarios="true"/>
  <mergeCells count="6">
    <mergeCell ref="D4:I5"/>
    <mergeCell ref="C6:K7"/>
    <mergeCell ref="C8:K8"/>
    <mergeCell ref="B14:L14"/>
    <mergeCell ref="B15:L15"/>
    <mergeCell ref="B17:L17"/>
  </mergeCells>
  <dataValidations count="1">
    <dataValidation allowBlank="true" errorStyle="stop" operator="equal" showDropDown="false" showErrorMessage="true" showInputMessage="false" sqref="D11" type="list">
      <formula1>D24:D34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MJ57"/>
  <sheetViews>
    <sheetView showFormulas="false" showGridLines="false" showRowColHeaders="false" showZeros="true" rightToLeft="false" tabSelected="false" showOutlineSymbols="false" defaultGridColor="true" view="normal" topLeftCell="A1" colorId="64" zoomScale="72" zoomScaleNormal="72" zoomScalePageLayoutView="100" workbookViewId="0">
      <selection pane="topLeft" activeCell="B11" activeCellId="0" sqref="B11"/>
    </sheetView>
  </sheetViews>
  <sheetFormatPr defaultColWidth="11.19921875" defaultRowHeight="17.35" zeroHeight="false" outlineLevelRow="0" outlineLevelCol="0"/>
  <cols>
    <col collapsed="false" customWidth="true" hidden="false" outlineLevel="0" max="1" min="1" style="404" width="8.52"/>
    <col collapsed="false" customWidth="true" hidden="false" outlineLevel="0" max="2" min="2" style="404" width="21.88"/>
    <col collapsed="false" customWidth="true" hidden="false" outlineLevel="0" max="3" min="3" style="404" width="19.17"/>
    <col collapsed="false" customWidth="true" hidden="false" outlineLevel="0" max="4" min="4" style="404" width="20.37"/>
    <col collapsed="false" customWidth="true" hidden="false" outlineLevel="0" max="5" min="5" style="404" width="19.17"/>
    <col collapsed="false" customWidth="true" hidden="false" outlineLevel="0" max="6" min="6" style="404" width="21.73"/>
    <col collapsed="false" customWidth="true" hidden="false" outlineLevel="0" max="8" min="7" style="404" width="19.17"/>
    <col collapsed="false" customWidth="true" hidden="false" outlineLevel="0" max="9" min="9" style="404" width="21.73"/>
    <col collapsed="false" customWidth="true" hidden="false" outlineLevel="0" max="11" min="10" style="404" width="19.17"/>
    <col collapsed="false" customWidth="true" hidden="false" outlineLevel="0" max="12" min="12" style="404" width="21.73"/>
    <col collapsed="false" customWidth="true" hidden="false" outlineLevel="0" max="13" min="13" style="404" width="19.17"/>
    <col collapsed="false" customWidth="false" hidden="false" outlineLevel="0" max="257" min="14" style="404" width="11.19"/>
    <col collapsed="false" customWidth="false" hidden="false" outlineLevel="0" max="1024" min="258" style="405" width="11.19"/>
  </cols>
  <sheetData>
    <row r="1" customFormat="false" ht="21.6" hidden="false" customHeight="true" outlineLevel="0" collapsed="false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</row>
    <row r="4" customFormat="false" ht="21.6" hidden="false" customHeight="true" outlineLevel="0" collapsed="false">
      <c r="A4" s="4"/>
      <c r="B4" s="406" t="s">
        <v>387</v>
      </c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</row>
    <row r="5" customFormat="false" ht="21.6" hidden="false" customHeight="true" outlineLevel="0" collapsed="false">
      <c r="A5" s="4"/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</row>
    <row r="6" customFormat="false" ht="21.6" hidden="false" customHeight="true" outlineLevel="0" collapsed="false">
      <c r="A6" s="4"/>
      <c r="B6" s="407" t="s">
        <v>388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  <c r="ALW6" s="4"/>
      <c r="ALX6" s="4"/>
      <c r="ALY6" s="4"/>
      <c r="ALZ6" s="4"/>
      <c r="AMA6" s="4"/>
      <c r="AMB6" s="4"/>
      <c r="AMC6" s="4"/>
      <c r="AMD6" s="4"/>
      <c r="AME6" s="4"/>
      <c r="AMF6" s="4"/>
      <c r="AMG6" s="4"/>
      <c r="AMH6" s="4"/>
      <c r="AMI6" s="4"/>
      <c r="AMJ6" s="4"/>
    </row>
    <row r="7" customFormat="false" ht="21.6" hidden="false" customHeight="true" outlineLevel="0" collapsed="false">
      <c r="A7" s="4"/>
      <c r="B7" s="407" t="s">
        <v>389</v>
      </c>
      <c r="C7" s="407" t="s">
        <v>390</v>
      </c>
      <c r="D7" s="407" t="s">
        <v>391</v>
      </c>
      <c r="E7" s="407" t="s">
        <v>392</v>
      </c>
      <c r="F7" s="407" t="s">
        <v>393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  <c r="ADC7" s="4"/>
      <c r="ADD7" s="4"/>
      <c r="ADE7" s="4"/>
      <c r="ADF7" s="4"/>
      <c r="ADG7" s="4"/>
      <c r="ADH7" s="4"/>
      <c r="ADI7" s="4"/>
      <c r="ADJ7" s="4"/>
      <c r="ADK7" s="4"/>
      <c r="ADL7" s="4"/>
      <c r="ADM7" s="4"/>
      <c r="ADN7" s="4"/>
      <c r="ADO7" s="4"/>
      <c r="ADP7" s="4"/>
      <c r="ADQ7" s="4"/>
      <c r="ADR7" s="4"/>
      <c r="ADS7" s="4"/>
      <c r="ADT7" s="4"/>
      <c r="ADU7" s="4"/>
      <c r="ADV7" s="4"/>
      <c r="ADW7" s="4"/>
      <c r="ADX7" s="4"/>
      <c r="ADY7" s="4"/>
      <c r="ADZ7" s="4"/>
      <c r="AEA7" s="4"/>
      <c r="AEB7" s="4"/>
      <c r="AEC7" s="4"/>
      <c r="AED7" s="4"/>
      <c r="AEE7" s="4"/>
      <c r="AEF7" s="4"/>
      <c r="AEG7" s="4"/>
      <c r="AEH7" s="4"/>
      <c r="AEI7" s="4"/>
      <c r="AEJ7" s="4"/>
      <c r="AEK7" s="4"/>
      <c r="AEL7" s="4"/>
      <c r="AEM7" s="4"/>
      <c r="AEN7" s="4"/>
      <c r="AEO7" s="4"/>
      <c r="AEP7" s="4"/>
      <c r="AEQ7" s="4"/>
      <c r="AER7" s="4"/>
      <c r="AES7" s="4"/>
      <c r="AET7" s="4"/>
      <c r="AEU7" s="4"/>
      <c r="AEV7" s="4"/>
      <c r="AEW7" s="4"/>
      <c r="AEX7" s="4"/>
      <c r="AEY7" s="4"/>
      <c r="AEZ7" s="4"/>
      <c r="AFA7" s="4"/>
      <c r="AFB7" s="4"/>
      <c r="AFC7" s="4"/>
      <c r="AFD7" s="4"/>
      <c r="AFE7" s="4"/>
      <c r="AFF7" s="4"/>
      <c r="AFG7" s="4"/>
      <c r="AFH7" s="4"/>
      <c r="AFI7" s="4"/>
      <c r="AFJ7" s="4"/>
      <c r="AFK7" s="4"/>
      <c r="AFL7" s="4"/>
      <c r="AFM7" s="4"/>
      <c r="AFN7" s="4"/>
      <c r="AFO7" s="4"/>
      <c r="AFP7" s="4"/>
      <c r="AFQ7" s="4"/>
      <c r="AFR7" s="4"/>
      <c r="AFS7" s="4"/>
      <c r="AFT7" s="4"/>
      <c r="AFU7" s="4"/>
      <c r="AFV7" s="4"/>
      <c r="AFW7" s="4"/>
      <c r="AFX7" s="4"/>
      <c r="AFY7" s="4"/>
      <c r="AFZ7" s="4"/>
      <c r="AGA7" s="4"/>
      <c r="AGB7" s="4"/>
      <c r="AGC7" s="4"/>
      <c r="AGD7" s="4"/>
      <c r="AGE7" s="4"/>
      <c r="AGF7" s="4"/>
      <c r="AGG7" s="4"/>
      <c r="AGH7" s="4"/>
      <c r="AGI7" s="4"/>
      <c r="AGJ7" s="4"/>
      <c r="AGK7" s="4"/>
      <c r="AGL7" s="4"/>
      <c r="AGM7" s="4"/>
      <c r="AGN7" s="4"/>
      <c r="AGO7" s="4"/>
      <c r="AGP7" s="4"/>
      <c r="AGQ7" s="4"/>
      <c r="AGR7" s="4"/>
      <c r="AGS7" s="4"/>
      <c r="AGT7" s="4"/>
      <c r="AGU7" s="4"/>
      <c r="AGV7" s="4"/>
      <c r="AGW7" s="4"/>
      <c r="AGX7" s="4"/>
      <c r="AGY7" s="4"/>
      <c r="AGZ7" s="4"/>
      <c r="AHA7" s="4"/>
      <c r="AHB7" s="4"/>
      <c r="AHC7" s="4"/>
      <c r="AHD7" s="4"/>
      <c r="AHE7" s="4"/>
      <c r="AHF7" s="4"/>
      <c r="AHG7" s="4"/>
      <c r="AHH7" s="4"/>
      <c r="AHI7" s="4"/>
      <c r="AHJ7" s="4"/>
      <c r="AHK7" s="4"/>
      <c r="AHL7" s="4"/>
      <c r="AHM7" s="4"/>
      <c r="AHN7" s="4"/>
      <c r="AHO7" s="4"/>
      <c r="AHP7" s="4"/>
      <c r="AHQ7" s="4"/>
      <c r="AHR7" s="4"/>
      <c r="AHS7" s="4"/>
      <c r="AHT7" s="4"/>
      <c r="AHU7" s="4"/>
      <c r="AHV7" s="4"/>
      <c r="AHW7" s="4"/>
      <c r="AHX7" s="4"/>
      <c r="AHY7" s="4"/>
      <c r="AHZ7" s="4"/>
      <c r="AIA7" s="4"/>
      <c r="AIB7" s="4"/>
      <c r="AIC7" s="4"/>
      <c r="AID7" s="4"/>
      <c r="AIE7" s="4"/>
      <c r="AIF7" s="4"/>
      <c r="AIG7" s="4"/>
      <c r="AIH7" s="4"/>
      <c r="AII7" s="4"/>
      <c r="AIJ7" s="4"/>
      <c r="AIK7" s="4"/>
      <c r="AIL7" s="4"/>
      <c r="AIM7" s="4"/>
      <c r="AIN7" s="4"/>
      <c r="AIO7" s="4"/>
      <c r="AIP7" s="4"/>
      <c r="AIQ7" s="4"/>
      <c r="AIR7" s="4"/>
      <c r="AIS7" s="4"/>
      <c r="AIT7" s="4"/>
      <c r="AIU7" s="4"/>
      <c r="AIV7" s="4"/>
      <c r="AIW7" s="4"/>
      <c r="AIX7" s="4"/>
      <c r="AIY7" s="4"/>
      <c r="AIZ7" s="4"/>
      <c r="AJA7" s="4"/>
      <c r="AJB7" s="4"/>
      <c r="AJC7" s="4"/>
      <c r="AJD7" s="4"/>
      <c r="AJE7" s="4"/>
      <c r="AJF7" s="4"/>
      <c r="AJG7" s="4"/>
      <c r="AJH7" s="4"/>
      <c r="AJI7" s="4"/>
      <c r="AJJ7" s="4"/>
      <c r="AJK7" s="4"/>
      <c r="AJL7" s="4"/>
      <c r="AJM7" s="4"/>
      <c r="AJN7" s="4"/>
      <c r="AJO7" s="4"/>
      <c r="AJP7" s="4"/>
      <c r="AJQ7" s="4"/>
      <c r="AJR7" s="4"/>
      <c r="AJS7" s="4"/>
      <c r="AJT7" s="4"/>
      <c r="AJU7" s="4"/>
      <c r="AJV7" s="4"/>
      <c r="AJW7" s="4"/>
      <c r="AJX7" s="4"/>
      <c r="AJY7" s="4"/>
      <c r="AJZ7" s="4"/>
      <c r="AKA7" s="4"/>
      <c r="AKB7" s="4"/>
      <c r="AKC7" s="4"/>
      <c r="AKD7" s="4"/>
      <c r="AKE7" s="4"/>
      <c r="AKF7" s="4"/>
      <c r="AKG7" s="4"/>
      <c r="AKH7" s="4"/>
      <c r="AKI7" s="4"/>
      <c r="AKJ7" s="4"/>
      <c r="AKK7" s="4"/>
      <c r="AKL7" s="4"/>
      <c r="AKM7" s="4"/>
      <c r="AKN7" s="4"/>
      <c r="AKO7" s="4"/>
      <c r="AKP7" s="4"/>
      <c r="AKQ7" s="4"/>
      <c r="AKR7" s="4"/>
      <c r="AKS7" s="4"/>
      <c r="AKT7" s="4"/>
      <c r="AKU7" s="4"/>
      <c r="AKV7" s="4"/>
      <c r="AKW7" s="4"/>
      <c r="AKX7" s="4"/>
      <c r="AKY7" s="4"/>
      <c r="AKZ7" s="4"/>
      <c r="ALA7" s="4"/>
      <c r="ALB7" s="4"/>
      <c r="ALC7" s="4"/>
      <c r="ALD7" s="4"/>
      <c r="ALE7" s="4"/>
      <c r="ALF7" s="4"/>
      <c r="ALG7" s="4"/>
      <c r="ALH7" s="4"/>
      <c r="ALI7" s="4"/>
      <c r="ALJ7" s="4"/>
      <c r="ALK7" s="4"/>
      <c r="ALL7" s="4"/>
      <c r="ALM7" s="4"/>
      <c r="ALN7" s="4"/>
      <c r="ALO7" s="4"/>
      <c r="ALP7" s="4"/>
      <c r="ALQ7" s="4"/>
      <c r="ALR7" s="4"/>
      <c r="ALS7" s="4"/>
      <c r="ALT7" s="4"/>
      <c r="ALU7" s="4"/>
      <c r="ALV7" s="4"/>
      <c r="ALW7" s="4"/>
      <c r="ALX7" s="4"/>
      <c r="ALY7" s="4"/>
      <c r="ALZ7" s="4"/>
      <c r="AMA7" s="4"/>
      <c r="AMB7" s="4"/>
      <c r="AMC7" s="4"/>
      <c r="AMD7" s="4"/>
      <c r="AME7" s="4"/>
      <c r="AMF7" s="4"/>
      <c r="AMG7" s="4"/>
      <c r="AMH7" s="4"/>
      <c r="AMI7" s="4"/>
      <c r="AMJ7" s="4"/>
    </row>
    <row r="8" customFormat="false" ht="21.6" hidden="false" customHeight="true" outlineLevel="0" collapsed="false">
      <c r="A8" s="4"/>
      <c r="B8" s="407" t="s">
        <v>394</v>
      </c>
      <c r="C8" s="407" t="s">
        <v>160</v>
      </c>
      <c r="D8" s="407" t="s">
        <v>187</v>
      </c>
      <c r="E8" s="407" t="s">
        <v>197</v>
      </c>
      <c r="F8" s="407" t="s">
        <v>395</v>
      </c>
      <c r="G8" s="408" t="s">
        <v>396</v>
      </c>
      <c r="H8" s="408"/>
      <c r="I8" s="408"/>
      <c r="J8" s="409" t="s">
        <v>397</v>
      </c>
      <c r="K8" s="409"/>
      <c r="L8" s="409"/>
      <c r="M8" s="410" t="s">
        <v>398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  <c r="ALR8" s="4"/>
      <c r="ALS8" s="4"/>
      <c r="ALT8" s="4"/>
      <c r="ALU8" s="4"/>
      <c r="ALV8" s="4"/>
      <c r="ALW8" s="4"/>
      <c r="ALX8" s="4"/>
      <c r="ALY8" s="4"/>
      <c r="ALZ8" s="4"/>
      <c r="AMA8" s="4"/>
      <c r="AMB8" s="4"/>
      <c r="AMC8" s="4"/>
      <c r="AMD8" s="4"/>
      <c r="AME8" s="4"/>
      <c r="AMF8" s="4"/>
      <c r="AMG8" s="4"/>
      <c r="AMH8" s="4"/>
      <c r="AMI8" s="4"/>
      <c r="AMJ8" s="4"/>
    </row>
    <row r="9" customFormat="false" ht="21.6" hidden="false" customHeight="true" outlineLevel="0" collapsed="false">
      <c r="A9" s="4"/>
      <c r="B9" s="407" t="s">
        <v>399</v>
      </c>
      <c r="C9" s="407" t="s">
        <v>244</v>
      </c>
      <c r="D9" s="407" t="s">
        <v>400</v>
      </c>
      <c r="E9" s="407" t="s">
        <v>401</v>
      </c>
      <c r="F9" s="407" t="s">
        <v>402</v>
      </c>
      <c r="G9" s="411" t="s">
        <v>328</v>
      </c>
      <c r="H9" s="412" t="s">
        <v>403</v>
      </c>
      <c r="I9" s="413" t="s">
        <v>404</v>
      </c>
      <c r="J9" s="411" t="s">
        <v>328</v>
      </c>
      <c r="K9" s="412" t="s">
        <v>403</v>
      </c>
      <c r="L9" s="413" t="s">
        <v>404</v>
      </c>
      <c r="M9" s="414" t="s">
        <v>328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4"/>
      <c r="AMI9" s="4"/>
      <c r="AMJ9" s="4"/>
    </row>
    <row r="10" customFormat="false" ht="21.6" hidden="false" customHeight="true" outlineLevel="0" collapsed="false">
      <c r="A10" s="4"/>
      <c r="B10" s="407"/>
      <c r="C10" s="407"/>
      <c r="D10" s="407"/>
      <c r="E10" s="407"/>
      <c r="F10" s="407"/>
      <c r="G10" s="407"/>
      <c r="H10" s="407"/>
      <c r="I10" s="407"/>
      <c r="J10" s="407"/>
      <c r="K10" s="407"/>
      <c r="L10" s="407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  <c r="ADC10" s="4"/>
      <c r="ADD10" s="4"/>
      <c r="ADE10" s="4"/>
      <c r="ADF10" s="4"/>
      <c r="ADG10" s="4"/>
      <c r="ADH10" s="4"/>
      <c r="ADI10" s="4"/>
      <c r="ADJ10" s="4"/>
      <c r="ADK10" s="4"/>
      <c r="ADL10" s="4"/>
      <c r="ADM10" s="4"/>
      <c r="ADN10" s="4"/>
      <c r="ADO10" s="4"/>
      <c r="ADP10" s="4"/>
      <c r="ADQ10" s="4"/>
      <c r="ADR10" s="4"/>
      <c r="ADS10" s="4"/>
      <c r="ADT10" s="4"/>
      <c r="ADU10" s="4"/>
      <c r="ADV10" s="4"/>
      <c r="ADW10" s="4"/>
      <c r="ADX10" s="4"/>
      <c r="ADY10" s="4"/>
      <c r="ADZ10" s="4"/>
      <c r="AEA10" s="4"/>
      <c r="AEB10" s="4"/>
      <c r="AEC10" s="4"/>
      <c r="AED10" s="4"/>
      <c r="AEE10" s="4"/>
      <c r="AEF10" s="4"/>
      <c r="AEG10" s="4"/>
      <c r="AEH10" s="4"/>
      <c r="AEI10" s="4"/>
      <c r="AEJ10" s="4"/>
      <c r="AEK10" s="4"/>
      <c r="AEL10" s="4"/>
      <c r="AEM10" s="4"/>
      <c r="AEN10" s="4"/>
      <c r="AEO10" s="4"/>
      <c r="AEP10" s="4"/>
      <c r="AEQ10" s="4"/>
      <c r="AER10" s="4"/>
      <c r="AES10" s="4"/>
      <c r="AET10" s="4"/>
      <c r="AEU10" s="4"/>
      <c r="AEV10" s="4"/>
      <c r="AEW10" s="4"/>
      <c r="AEX10" s="4"/>
      <c r="AEY10" s="4"/>
      <c r="AEZ10" s="4"/>
      <c r="AFA10" s="4"/>
      <c r="AFB10" s="4"/>
      <c r="AFC10" s="4"/>
      <c r="AFD10" s="4"/>
      <c r="AFE10" s="4"/>
      <c r="AFF10" s="4"/>
      <c r="AFG10" s="4"/>
      <c r="AFH10" s="4"/>
      <c r="AFI10" s="4"/>
      <c r="AFJ10" s="4"/>
      <c r="AFK10" s="4"/>
      <c r="AFL10" s="4"/>
      <c r="AFM10" s="4"/>
      <c r="AFN10" s="4"/>
      <c r="AFO10" s="4"/>
      <c r="AFP10" s="4"/>
      <c r="AFQ10" s="4"/>
      <c r="AFR10" s="4"/>
      <c r="AFS10" s="4"/>
      <c r="AFT10" s="4"/>
      <c r="AFU10" s="4"/>
      <c r="AFV10" s="4"/>
      <c r="AFW10" s="4"/>
      <c r="AFX10" s="4"/>
      <c r="AFY10" s="4"/>
      <c r="AFZ10" s="4"/>
      <c r="AGA10" s="4"/>
      <c r="AGB10" s="4"/>
      <c r="AGC10" s="4"/>
      <c r="AGD10" s="4"/>
      <c r="AGE10" s="4"/>
      <c r="AGF10" s="4"/>
      <c r="AGG10" s="4"/>
      <c r="AGH10" s="4"/>
      <c r="AGI10" s="4"/>
      <c r="AGJ10" s="4"/>
      <c r="AGK10" s="4"/>
      <c r="AGL10" s="4"/>
      <c r="AGM10" s="4"/>
      <c r="AGN10" s="4"/>
      <c r="AGO10" s="4"/>
      <c r="AGP10" s="4"/>
      <c r="AGQ10" s="4"/>
      <c r="AGR10" s="4"/>
      <c r="AGS10" s="4"/>
      <c r="AGT10" s="4"/>
      <c r="AGU10" s="4"/>
      <c r="AGV10" s="4"/>
      <c r="AGW10" s="4"/>
      <c r="AGX10" s="4"/>
      <c r="AGY10" s="4"/>
      <c r="AGZ10" s="4"/>
      <c r="AHA10" s="4"/>
      <c r="AHB10" s="4"/>
      <c r="AHC10" s="4"/>
      <c r="AHD10" s="4"/>
      <c r="AHE10" s="4"/>
      <c r="AHF10" s="4"/>
      <c r="AHG10" s="4"/>
      <c r="AHH10" s="4"/>
      <c r="AHI10" s="4"/>
      <c r="AHJ10" s="4"/>
      <c r="AHK10" s="4"/>
      <c r="AHL10" s="4"/>
      <c r="AHM10" s="4"/>
      <c r="AHN10" s="4"/>
      <c r="AHO10" s="4"/>
      <c r="AHP10" s="4"/>
      <c r="AHQ10" s="4"/>
      <c r="AHR10" s="4"/>
      <c r="AHS10" s="4"/>
      <c r="AHT10" s="4"/>
      <c r="AHU10" s="4"/>
      <c r="AHV10" s="4"/>
      <c r="AHW10" s="4"/>
      <c r="AHX10" s="4"/>
      <c r="AHY10" s="4"/>
      <c r="AHZ10" s="4"/>
      <c r="AIA10" s="4"/>
      <c r="AIB10" s="4"/>
      <c r="AIC10" s="4"/>
      <c r="AID10" s="4"/>
      <c r="AIE10" s="4"/>
      <c r="AIF10" s="4"/>
      <c r="AIG10" s="4"/>
      <c r="AIH10" s="4"/>
      <c r="AII10" s="4"/>
      <c r="AIJ10" s="4"/>
      <c r="AIK10" s="4"/>
      <c r="AIL10" s="4"/>
      <c r="AIM10" s="4"/>
      <c r="AIN10" s="4"/>
      <c r="AIO10" s="4"/>
      <c r="AIP10" s="4"/>
      <c r="AIQ10" s="4"/>
      <c r="AIR10" s="4"/>
      <c r="AIS10" s="4"/>
      <c r="AIT10" s="4"/>
      <c r="AIU10" s="4"/>
      <c r="AIV10" s="4"/>
      <c r="AIW10" s="4"/>
      <c r="AIX10" s="4"/>
      <c r="AIY10" s="4"/>
      <c r="AIZ10" s="4"/>
      <c r="AJA10" s="4"/>
      <c r="AJB10" s="4"/>
      <c r="AJC10" s="4"/>
      <c r="AJD10" s="4"/>
      <c r="AJE10" s="4"/>
      <c r="AJF10" s="4"/>
      <c r="AJG10" s="4"/>
      <c r="AJH10" s="4"/>
      <c r="AJI10" s="4"/>
      <c r="AJJ10" s="4"/>
      <c r="AJK10" s="4"/>
      <c r="AJL10" s="4"/>
      <c r="AJM10" s="4"/>
      <c r="AJN10" s="4"/>
      <c r="AJO10" s="4"/>
      <c r="AJP10" s="4"/>
      <c r="AJQ10" s="4"/>
      <c r="AJR10" s="4"/>
      <c r="AJS10" s="4"/>
      <c r="AJT10" s="4"/>
      <c r="AJU10" s="4"/>
      <c r="AJV10" s="4"/>
      <c r="AJW10" s="4"/>
      <c r="AJX10" s="4"/>
      <c r="AJY10" s="4"/>
      <c r="AJZ10" s="4"/>
      <c r="AKA10" s="4"/>
      <c r="AKB10" s="4"/>
      <c r="AKC10" s="4"/>
      <c r="AKD10" s="4"/>
      <c r="AKE10" s="4"/>
      <c r="AKF10" s="4"/>
      <c r="AKG10" s="4"/>
      <c r="AKH10" s="4"/>
      <c r="AKI10" s="4"/>
      <c r="AKJ10" s="4"/>
      <c r="AKK10" s="4"/>
      <c r="AKL10" s="4"/>
      <c r="AKM10" s="4"/>
      <c r="AKN10" s="4"/>
      <c r="AKO10" s="4"/>
      <c r="AKP10" s="4"/>
      <c r="AKQ10" s="4"/>
      <c r="AKR10" s="4"/>
      <c r="AKS10" s="4"/>
      <c r="AKT10" s="4"/>
      <c r="AKU10" s="4"/>
      <c r="AKV10" s="4"/>
      <c r="AKW10" s="4"/>
      <c r="AKX10" s="4"/>
      <c r="AKY10" s="4"/>
      <c r="AKZ10" s="4"/>
      <c r="ALA10" s="4"/>
      <c r="ALB10" s="4"/>
      <c r="ALC10" s="4"/>
      <c r="ALD10" s="4"/>
      <c r="ALE10" s="4"/>
      <c r="ALF10" s="4"/>
      <c r="ALG10" s="4"/>
      <c r="ALH10" s="4"/>
      <c r="ALI10" s="4"/>
      <c r="ALJ10" s="4"/>
      <c r="ALK10" s="4"/>
      <c r="ALL10" s="4"/>
      <c r="ALM10" s="4"/>
      <c r="ALN10" s="4"/>
      <c r="ALO10" s="4"/>
      <c r="ALP10" s="4"/>
      <c r="ALQ10" s="4"/>
      <c r="ALR10" s="4"/>
      <c r="ALS10" s="4"/>
      <c r="ALT10" s="4"/>
      <c r="ALU10" s="4"/>
      <c r="ALV10" s="4"/>
      <c r="ALW10" s="4"/>
      <c r="ALX10" s="4"/>
      <c r="ALY10" s="4"/>
      <c r="ALZ10" s="4"/>
      <c r="AMA10" s="4"/>
      <c r="AMB10" s="4"/>
      <c r="AMC10" s="4"/>
      <c r="AMD10" s="4"/>
      <c r="AME10" s="4"/>
      <c r="AMF10" s="4"/>
      <c r="AMG10" s="4"/>
      <c r="AMH10" s="4"/>
      <c r="AMI10" s="4"/>
      <c r="AMJ10" s="4"/>
    </row>
    <row r="11" customFormat="false" ht="21.6" hidden="false" customHeight="true" outlineLevel="0" collapsed="false">
      <c r="A11" s="4"/>
      <c r="B11" s="415" t="n">
        <v>63.5</v>
      </c>
      <c r="C11" s="415" t="n">
        <v>6.15</v>
      </c>
      <c r="D11" s="415" t="n">
        <v>2.5</v>
      </c>
      <c r="E11" s="416" t="n">
        <f aca="false">3.0378-(0.050062*B11)+(0.00026555*B11^2)</f>
        <v>0.929626987499999</v>
      </c>
      <c r="F11" s="416" t="n">
        <f aca="false">D11-E11</f>
        <v>1.5703730125</v>
      </c>
      <c r="G11" s="417" t="n">
        <f aca="false">H19*(3.7854*C11)*F11</f>
        <v>161.296602803176</v>
      </c>
      <c r="H11" s="417" t="n">
        <f aca="false">G11/28.35</f>
        <v>5.68947452568521</v>
      </c>
      <c r="I11" s="417" t="n">
        <f aca="false">H11/7.0546</f>
        <v>0.806491441851445</v>
      </c>
      <c r="J11" s="417" t="n">
        <f aca="false">0.91*G11</f>
        <v>146.77990855089</v>
      </c>
      <c r="K11" s="417" t="n">
        <f aca="false">J11/28.35</f>
        <v>5.17742181837354</v>
      </c>
      <c r="L11" s="417" t="n">
        <f aca="false">K11/7.1958</f>
        <v>0.71950607554039</v>
      </c>
      <c r="M11" s="417" t="n">
        <f aca="false">J11*1.4707</f>
        <v>215.869211505794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18" t="n">
        <v>30</v>
      </c>
      <c r="Y11" s="419" t="n">
        <v>1.82</v>
      </c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4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4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4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4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4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4"/>
      <c r="AKJ11" s="4"/>
      <c r="AKK11" s="4"/>
      <c r="AKL11" s="4"/>
      <c r="AKM11" s="4"/>
      <c r="AKN11" s="4"/>
      <c r="AKO11" s="4"/>
      <c r="AKP11" s="4"/>
      <c r="AKQ11" s="4"/>
      <c r="AKR11" s="4"/>
      <c r="AKS11" s="4"/>
      <c r="AKT11" s="4"/>
      <c r="AKU11" s="4"/>
      <c r="AKV11" s="4"/>
      <c r="AKW11" s="4"/>
      <c r="AKX11" s="4"/>
      <c r="AKY11" s="4"/>
      <c r="AKZ11" s="4"/>
      <c r="ALA11" s="4"/>
      <c r="ALB11" s="4"/>
      <c r="ALC11" s="4"/>
      <c r="ALD11" s="4"/>
      <c r="ALE11" s="4"/>
      <c r="ALF11" s="4"/>
      <c r="ALG11" s="4"/>
      <c r="ALH11" s="4"/>
      <c r="ALI11" s="4"/>
      <c r="ALJ11" s="4"/>
      <c r="ALK11" s="4"/>
      <c r="ALL11" s="4"/>
      <c r="ALM11" s="4"/>
      <c r="ALN11" s="4"/>
      <c r="ALO11" s="4"/>
      <c r="ALP11" s="4"/>
      <c r="ALQ11" s="4"/>
      <c r="ALR11" s="4"/>
      <c r="ALS11" s="4"/>
      <c r="ALT11" s="4"/>
      <c r="ALU11" s="4"/>
      <c r="ALV11" s="4"/>
      <c r="ALW11" s="4"/>
      <c r="ALX11" s="4"/>
      <c r="ALY11" s="4"/>
      <c r="ALZ11" s="4"/>
      <c r="AMA11" s="4"/>
      <c r="AMB11" s="4"/>
      <c r="AMC11" s="4"/>
      <c r="AMD11" s="4"/>
      <c r="AME11" s="4"/>
      <c r="AMF11" s="4"/>
      <c r="AMG11" s="4"/>
      <c r="AMH11" s="4"/>
      <c r="AMI11" s="4"/>
      <c r="AMJ11" s="4"/>
    </row>
    <row r="12" s="420" customFormat="true" ht="21.6" hidden="false" customHeight="true" outlineLevel="0" collapsed="false">
      <c r="B12" s="421"/>
      <c r="C12" s="421" t="s">
        <v>405</v>
      </c>
      <c r="D12" s="421"/>
      <c r="E12" s="422"/>
      <c r="F12" s="422"/>
      <c r="G12" s="423"/>
      <c r="H12" s="423"/>
      <c r="I12" s="423"/>
      <c r="J12" s="423"/>
      <c r="K12" s="423"/>
      <c r="L12" s="423"/>
      <c r="M12" s="423"/>
      <c r="X12" s="424"/>
      <c r="Y12" s="425"/>
    </row>
    <row r="13" customFormat="false" ht="21.6" hidden="false" customHeight="true" outlineLevel="0" collapsed="false">
      <c r="B13" s="407" t="s">
        <v>406</v>
      </c>
      <c r="C13" s="407" t="s">
        <v>407</v>
      </c>
      <c r="D13" s="4"/>
      <c r="E13" s="4"/>
      <c r="F13" s="4"/>
      <c r="G13" s="4"/>
      <c r="H13" s="4"/>
      <c r="I13" s="4"/>
      <c r="J13" s="4"/>
      <c r="L13" s="4"/>
      <c r="M13" s="4"/>
      <c r="X13" s="418" t="n">
        <v>31</v>
      </c>
      <c r="Y13" s="419" t="n">
        <v>1.78</v>
      </c>
    </row>
    <row r="14" customFormat="false" ht="21.6" hidden="false" customHeight="true" outlineLevel="0" collapsed="false">
      <c r="B14" s="426" t="n">
        <v>12</v>
      </c>
      <c r="C14" s="427" t="n">
        <f aca="false">C11*128/$B$14</f>
        <v>65.6</v>
      </c>
      <c r="D14" s="4"/>
      <c r="E14" s="4"/>
      <c r="F14" s="428" t="str">
        <f aca="false">"Per "&amp;$B$14&amp;" Oz. ="</f>
        <v>Per 12 Oz. =</v>
      </c>
      <c r="G14" s="417" t="str">
        <f aca="false">ROUND(G11/C14,2)&amp;" Grams"</f>
        <v>2.46 Grams</v>
      </c>
      <c r="H14" s="4"/>
      <c r="I14" s="428" t="str">
        <f aca="false">"Per "&amp;$B$14&amp;" Oz. ="</f>
        <v>Per 12 Oz. =</v>
      </c>
      <c r="J14" s="417" t="str">
        <f aca="false">ROUND(J11/C14,2)&amp;" Grams"</f>
        <v>2.24 Grams</v>
      </c>
      <c r="L14" s="428" t="str">
        <f aca="false">"Per "&amp;$B$14&amp;" Oz. ="</f>
        <v>Per 12 Oz. =</v>
      </c>
      <c r="M14" s="417" t="str">
        <f aca="false">ROUND(M11/C14,2)&amp;" Grams"</f>
        <v>3.29 Grams</v>
      </c>
      <c r="X14" s="418" t="n">
        <v>32</v>
      </c>
      <c r="Y14" s="419" t="n">
        <v>1.75</v>
      </c>
    </row>
    <row r="15" customFormat="false" ht="21.6" hidden="false" customHeight="true" outlineLevel="0" collapsed="false">
      <c r="D15" s="4"/>
      <c r="E15" s="4"/>
      <c r="F15" s="4"/>
      <c r="G15" s="428" t="s">
        <v>396</v>
      </c>
      <c r="H15" s="4"/>
      <c r="I15" s="4"/>
      <c r="J15" s="428" t="s">
        <v>397</v>
      </c>
      <c r="M15" s="428" t="s">
        <v>398</v>
      </c>
      <c r="X15" s="418" t="n">
        <v>33</v>
      </c>
      <c r="Y15" s="419" t="n">
        <v>1.71</v>
      </c>
    </row>
    <row r="16" customFormat="false" ht="21.6" hidden="false" customHeight="true" outlineLevel="0" collapsed="false">
      <c r="D16" s="4"/>
      <c r="E16" s="4"/>
      <c r="F16" s="4"/>
      <c r="G16" s="4"/>
      <c r="H16" s="4"/>
      <c r="I16" s="4"/>
      <c r="X16" s="418" t="n">
        <v>34</v>
      </c>
      <c r="Y16" s="419" t="n">
        <v>1.68</v>
      </c>
    </row>
    <row r="17" customFormat="false" ht="21.6" hidden="false" customHeight="true" outlineLevel="0" collapsed="false">
      <c r="D17" s="429" t="s">
        <v>408</v>
      </c>
      <c r="E17" s="429"/>
      <c r="F17" s="429"/>
      <c r="G17" s="429"/>
      <c r="H17" s="429"/>
      <c r="I17" s="429"/>
      <c r="X17" s="418" t="n">
        <v>35</v>
      </c>
      <c r="Y17" s="419" t="n">
        <v>1.63</v>
      </c>
    </row>
    <row r="18" customFormat="false" ht="21.6" hidden="false" customHeight="true" outlineLevel="0" collapsed="false">
      <c r="D18" s="429"/>
      <c r="E18" s="429"/>
      <c r="F18" s="429"/>
      <c r="G18" s="429"/>
      <c r="H18" s="429"/>
      <c r="I18" s="429"/>
      <c r="X18" s="418" t="n">
        <v>36</v>
      </c>
      <c r="Y18" s="419" t="n">
        <v>1.6</v>
      </c>
    </row>
    <row r="19" customFormat="false" ht="21.6" hidden="false" customHeight="true" outlineLevel="0" collapsed="false">
      <c r="F19" s="428" t="s">
        <v>409</v>
      </c>
      <c r="G19" s="415" t="s">
        <v>410</v>
      </c>
      <c r="H19" s="430" t="n">
        <f aca="false">IF(G19="Aggressive",4.412,4.046)</f>
        <v>4.412</v>
      </c>
      <c r="X19" s="418" t="n">
        <v>37</v>
      </c>
      <c r="Y19" s="419" t="n">
        <v>1.55</v>
      </c>
    </row>
    <row r="20" customFormat="false" ht="21.6" hidden="false" customHeight="true" outlineLevel="0" collapsed="false">
      <c r="G20" s="431" t="s">
        <v>410</v>
      </c>
      <c r="X20" s="418" t="n">
        <v>38</v>
      </c>
      <c r="Y20" s="419" t="n">
        <v>1.52</v>
      </c>
    </row>
    <row r="21" customFormat="false" ht="21.6" hidden="false" customHeight="true" outlineLevel="0" collapsed="false">
      <c r="G21" s="431" t="s">
        <v>411</v>
      </c>
      <c r="X21" s="418" t="n">
        <v>39</v>
      </c>
      <c r="Y21" s="419" t="n">
        <v>1.49</v>
      </c>
    </row>
    <row r="22" customFormat="false" ht="21.6" hidden="false" customHeight="true" outlineLevel="0" collapsed="false">
      <c r="X22" s="418" t="n">
        <v>40</v>
      </c>
      <c r="Y22" s="419" t="n">
        <v>1.47</v>
      </c>
    </row>
    <row r="23" customFormat="false" ht="21.6" hidden="false" customHeight="true" outlineLevel="0" collapsed="false">
      <c r="X23" s="418" t="n">
        <v>41</v>
      </c>
      <c r="Y23" s="419" t="n">
        <v>1.43</v>
      </c>
    </row>
    <row r="24" customFormat="false" ht="21.6" hidden="false" customHeight="true" outlineLevel="0" collapsed="false">
      <c r="X24" s="418" t="n">
        <v>42</v>
      </c>
      <c r="Y24" s="419" t="n">
        <v>1.39</v>
      </c>
    </row>
    <row r="25" customFormat="false" ht="21.6" hidden="false" customHeight="true" outlineLevel="0" collapsed="false">
      <c r="X25" s="418" t="n">
        <v>43</v>
      </c>
      <c r="Y25" s="419" t="n">
        <v>1.37</v>
      </c>
    </row>
    <row r="26" customFormat="false" ht="17.35" hidden="false" customHeight="false" outlineLevel="0" collapsed="false">
      <c r="X26" s="418" t="n">
        <v>44</v>
      </c>
      <c r="Y26" s="419" t="n">
        <v>1.35</v>
      </c>
    </row>
    <row r="27" customFormat="false" ht="17.35" hidden="false" customHeight="false" outlineLevel="0" collapsed="false">
      <c r="X27" s="418" t="n">
        <v>45</v>
      </c>
      <c r="Y27" s="419" t="n">
        <v>1.32</v>
      </c>
    </row>
    <row r="28" customFormat="false" ht="17.35" hidden="false" customHeight="false" outlineLevel="0" collapsed="false">
      <c r="X28" s="418" t="n">
        <v>46</v>
      </c>
      <c r="Y28" s="419" t="n">
        <v>1.28</v>
      </c>
    </row>
    <row r="29" customFormat="false" ht="17.35" hidden="false" customHeight="false" outlineLevel="0" collapsed="false">
      <c r="X29" s="418" t="n">
        <v>47</v>
      </c>
      <c r="Y29" s="419" t="n">
        <v>1.26</v>
      </c>
    </row>
    <row r="30" customFormat="false" ht="17.35" hidden="false" customHeight="false" outlineLevel="0" collapsed="false">
      <c r="X30" s="418" t="n">
        <v>48</v>
      </c>
      <c r="Y30" s="419" t="n">
        <v>1.23</v>
      </c>
    </row>
    <row r="31" customFormat="false" ht="17.35" hidden="false" customHeight="false" outlineLevel="0" collapsed="false">
      <c r="X31" s="418" t="n">
        <v>49</v>
      </c>
      <c r="Y31" s="419" t="n">
        <v>1.21</v>
      </c>
    </row>
    <row r="32" customFormat="false" ht="17.35" hidden="false" customHeight="false" outlineLevel="0" collapsed="false">
      <c r="X32" s="418" t="n">
        <v>50</v>
      </c>
      <c r="Y32" s="419" t="n">
        <v>1.19</v>
      </c>
    </row>
    <row r="33" customFormat="false" ht="17.35" hidden="false" customHeight="false" outlineLevel="0" collapsed="false">
      <c r="X33" s="418" t="n">
        <v>51</v>
      </c>
      <c r="Y33" s="419" t="n">
        <v>1.18</v>
      </c>
    </row>
    <row r="34" customFormat="false" ht="17.35" hidden="false" customHeight="false" outlineLevel="0" collapsed="false">
      <c r="X34" s="418" t="n">
        <v>52</v>
      </c>
      <c r="Y34" s="419" t="n">
        <v>1.16</v>
      </c>
    </row>
    <row r="35" customFormat="false" ht="17.35" hidden="false" customHeight="false" outlineLevel="0" collapsed="false">
      <c r="X35" s="418" t="n">
        <v>53</v>
      </c>
      <c r="Y35" s="419" t="n">
        <v>1.14</v>
      </c>
    </row>
    <row r="36" customFormat="false" ht="17.35" hidden="false" customHeight="false" outlineLevel="0" collapsed="false">
      <c r="X36" s="418" t="n">
        <v>54</v>
      </c>
      <c r="Y36" s="419" t="n">
        <v>1.12</v>
      </c>
    </row>
    <row r="37" customFormat="false" ht="17.35" hidden="false" customHeight="false" outlineLevel="0" collapsed="false">
      <c r="X37" s="418" t="n">
        <v>55</v>
      </c>
      <c r="Y37" s="419" t="n">
        <v>1.1</v>
      </c>
    </row>
    <row r="38" customFormat="false" ht="17.35" hidden="false" customHeight="false" outlineLevel="0" collapsed="false">
      <c r="X38" s="418" t="n">
        <v>56</v>
      </c>
      <c r="Y38" s="419" t="n">
        <v>1.07</v>
      </c>
    </row>
    <row r="39" customFormat="false" ht="17.35" hidden="false" customHeight="false" outlineLevel="0" collapsed="false">
      <c r="X39" s="418" t="n">
        <v>57</v>
      </c>
      <c r="Y39" s="419" t="n">
        <v>1.05</v>
      </c>
    </row>
    <row r="40" customFormat="false" ht="17.35" hidden="false" customHeight="false" outlineLevel="0" collapsed="false">
      <c r="X40" s="418" t="n">
        <v>58</v>
      </c>
      <c r="Y40" s="419" t="n">
        <v>1.03</v>
      </c>
    </row>
    <row r="41" customFormat="false" ht="17.35" hidden="false" customHeight="false" outlineLevel="0" collapsed="false">
      <c r="X41" s="418" t="n">
        <v>59</v>
      </c>
      <c r="Y41" s="419" t="n">
        <v>1.02</v>
      </c>
    </row>
    <row r="42" customFormat="false" ht="17.35" hidden="false" customHeight="false" outlineLevel="0" collapsed="false">
      <c r="X42" s="418" t="n">
        <v>60</v>
      </c>
      <c r="Y42" s="419" t="n">
        <v>1.01</v>
      </c>
    </row>
    <row r="43" customFormat="false" ht="17.35" hidden="false" customHeight="false" outlineLevel="0" collapsed="false">
      <c r="X43" s="418" t="n">
        <v>61</v>
      </c>
      <c r="Y43" s="419" t="n">
        <v>0.99</v>
      </c>
    </row>
    <row r="44" customFormat="false" ht="17.35" hidden="false" customHeight="false" outlineLevel="0" collapsed="false">
      <c r="X44" s="418" t="n">
        <v>62</v>
      </c>
      <c r="Y44" s="419" t="n">
        <v>0.96</v>
      </c>
    </row>
    <row r="45" customFormat="false" ht="17.35" hidden="false" customHeight="false" outlineLevel="0" collapsed="false">
      <c r="X45" s="418" t="n">
        <v>63</v>
      </c>
      <c r="Y45" s="419" t="n">
        <v>0.93</v>
      </c>
    </row>
    <row r="46" customFormat="false" ht="17.35" hidden="false" customHeight="false" outlineLevel="0" collapsed="false">
      <c r="X46" s="418" t="n">
        <v>64</v>
      </c>
      <c r="Y46" s="419" t="n">
        <v>0.91</v>
      </c>
    </row>
    <row r="47" customFormat="false" ht="17.35" hidden="false" customHeight="false" outlineLevel="0" collapsed="false">
      <c r="X47" s="418" t="n">
        <v>65</v>
      </c>
      <c r="Y47" s="419" t="n">
        <v>0.9</v>
      </c>
    </row>
    <row r="48" customFormat="false" ht="17.35" hidden="false" customHeight="false" outlineLevel="0" collapsed="false">
      <c r="X48" s="418" t="n">
        <v>66</v>
      </c>
      <c r="Y48" s="419" t="n">
        <v>0.89</v>
      </c>
    </row>
    <row r="49" customFormat="false" ht="17.35" hidden="false" customHeight="false" outlineLevel="0" collapsed="false">
      <c r="X49" s="418" t="n">
        <v>67</v>
      </c>
      <c r="Y49" s="419" t="n">
        <v>0.88</v>
      </c>
    </row>
    <row r="50" customFormat="false" ht="17.35" hidden="false" customHeight="false" outlineLevel="0" collapsed="false">
      <c r="X50" s="418" t="n">
        <v>68</v>
      </c>
      <c r="Y50" s="419" t="n">
        <v>0.88</v>
      </c>
    </row>
    <row r="51" customFormat="false" ht="17.35" hidden="false" customHeight="false" outlineLevel="0" collapsed="false">
      <c r="X51" s="418" t="n">
        <v>69</v>
      </c>
      <c r="Y51" s="419" t="n">
        <v>0.87</v>
      </c>
    </row>
    <row r="52" customFormat="false" ht="17.35" hidden="false" customHeight="false" outlineLevel="0" collapsed="false">
      <c r="X52" s="418" t="n">
        <v>70</v>
      </c>
      <c r="Y52" s="419" t="n">
        <v>0.85</v>
      </c>
    </row>
    <row r="53" customFormat="false" ht="17.35" hidden="false" customHeight="false" outlineLevel="0" collapsed="false">
      <c r="X53" s="418" t="n">
        <v>71</v>
      </c>
      <c r="Y53" s="419" t="n">
        <v>0.83</v>
      </c>
    </row>
    <row r="54" customFormat="false" ht="17.35" hidden="false" customHeight="false" outlineLevel="0" collapsed="false">
      <c r="X54" s="418" t="n">
        <v>72</v>
      </c>
      <c r="Y54" s="419" t="n">
        <v>0.83</v>
      </c>
    </row>
    <row r="55" customFormat="false" ht="17.35" hidden="false" customHeight="false" outlineLevel="0" collapsed="false">
      <c r="X55" s="418" t="n">
        <v>73</v>
      </c>
      <c r="Y55" s="419" t="n">
        <v>0.8</v>
      </c>
    </row>
    <row r="56" customFormat="false" ht="17.35" hidden="false" customHeight="false" outlineLevel="0" collapsed="false">
      <c r="X56" s="418" t="n">
        <v>74</v>
      </c>
      <c r="Y56" s="419" t="n">
        <v>0.79</v>
      </c>
    </row>
    <row r="57" customFormat="false" ht="17.35" hidden="false" customHeight="false" outlineLevel="0" collapsed="false">
      <c r="X57" s="418" t="n">
        <v>75</v>
      </c>
      <c r="Y57" s="419" t="n">
        <v>0.78</v>
      </c>
    </row>
  </sheetData>
  <sheetProtection sheet="true" password="d3f5" objects="true" scenarios="true" selectLockedCells="true"/>
  <mergeCells count="4">
    <mergeCell ref="B4:L5"/>
    <mergeCell ref="G8:I8"/>
    <mergeCell ref="J8:L8"/>
    <mergeCell ref="D17:I18"/>
  </mergeCells>
  <dataValidations count="1">
    <dataValidation allowBlank="true" errorStyle="stop" operator="equal" showDropDown="false" showErrorMessage="true" showInputMessage="false" sqref="G19" type="list">
      <formula1>'Priming Calculator'!$G$20:$G$21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E1:I20"/>
  <sheetViews>
    <sheetView showFormulas="false" showGridLines="false" showRowColHeaders="false" showZeros="true" rightToLeft="false" tabSelected="false" showOutlineSymbols="false" defaultGridColor="true" view="normal" topLeftCell="A1" colorId="64" zoomScale="100" zoomScaleNormal="100" zoomScalePageLayoutView="100" workbookViewId="0">
      <selection pane="topLeft" activeCell="F20" activeCellId="0" sqref="F20"/>
    </sheetView>
  </sheetViews>
  <sheetFormatPr defaultColWidth="11.35546875" defaultRowHeight="17.35" zeroHeight="false" outlineLevelRow="0" outlineLevelCol="0"/>
  <cols>
    <col collapsed="false" customWidth="false" hidden="false" outlineLevel="0" max="5" min="1" style="145" width="11.34"/>
    <col collapsed="false" customWidth="true" hidden="false" outlineLevel="0" max="8" min="6" style="145" width="15.55"/>
    <col collapsed="false" customWidth="false" hidden="false" outlineLevel="0" max="1024" min="9" style="145" width="11.34"/>
  </cols>
  <sheetData>
    <row r="1" customFormat="false" ht="17.35" hidden="false" customHeight="false" outlineLevel="0" collapsed="false">
      <c r="E1" s="4"/>
      <c r="F1" s="4"/>
      <c r="G1" s="4"/>
      <c r="H1" s="4"/>
      <c r="I1" s="4"/>
    </row>
    <row r="2" customFormat="false" ht="17.35" hidden="false" customHeight="false" outlineLevel="0" collapsed="false">
      <c r="E2" s="4"/>
      <c r="F2" s="4"/>
      <c r="G2" s="4"/>
      <c r="H2" s="4"/>
      <c r="I2" s="4"/>
    </row>
    <row r="3" customFormat="false" ht="17.35" hidden="false" customHeight="false" outlineLevel="0" collapsed="false">
      <c r="E3" s="432" t="s">
        <v>412</v>
      </c>
      <c r="F3" s="432"/>
      <c r="G3" s="432"/>
      <c r="H3" s="432"/>
      <c r="I3" s="432"/>
    </row>
    <row r="4" customFormat="false" ht="17.35" hidden="false" customHeight="false" outlineLevel="0" collapsed="false">
      <c r="E4" s="432"/>
      <c r="F4" s="432"/>
      <c r="G4" s="432"/>
      <c r="H4" s="432"/>
      <c r="I4" s="432"/>
    </row>
    <row r="5" customFormat="false" ht="17.35" hidden="false" customHeight="false" outlineLevel="0" collapsed="false">
      <c r="F5" s="4"/>
      <c r="G5" s="4"/>
      <c r="H5" s="4"/>
    </row>
    <row r="6" customFormat="false" ht="17.35" hidden="false" customHeight="false" outlineLevel="0" collapsed="false">
      <c r="F6" s="145" t="s">
        <v>154</v>
      </c>
      <c r="G6" s="145" t="s">
        <v>151</v>
      </c>
      <c r="H6" s="145" t="s">
        <v>413</v>
      </c>
    </row>
    <row r="7" customFormat="false" ht="8.95" hidden="false" customHeight="true" outlineLevel="0" collapsed="false">
      <c r="F7" s="433"/>
      <c r="G7" s="433"/>
      <c r="H7" s="433"/>
    </row>
    <row r="8" customFormat="false" ht="17.35" hidden="false" customHeight="false" outlineLevel="0" collapsed="false">
      <c r="F8" s="434" t="n">
        <v>100</v>
      </c>
      <c r="G8" s="435" t="n">
        <f aca="false">(F8 + 0.76) / 1.3546</f>
        <v>74.3835818691865</v>
      </c>
      <c r="H8" s="436" t="n">
        <f aca="false">1.97*F8</f>
        <v>197</v>
      </c>
    </row>
    <row r="9" customFormat="false" ht="17.35" hidden="false" customHeight="false" outlineLevel="0" collapsed="false">
      <c r="F9" s="4"/>
      <c r="G9" s="4"/>
      <c r="H9" s="4"/>
    </row>
    <row r="10" customFormat="false" ht="17.35" hidden="false" customHeight="false" outlineLevel="0" collapsed="false">
      <c r="F10" s="4"/>
      <c r="G10" s="4"/>
      <c r="H10" s="4"/>
    </row>
    <row r="11" customFormat="false" ht="17.35" hidden="false" customHeight="false" outlineLevel="0" collapsed="false">
      <c r="F11" s="4"/>
      <c r="G11" s="4"/>
      <c r="H11" s="4"/>
    </row>
    <row r="12" customFormat="false" ht="17.35" hidden="false" customHeight="false" outlineLevel="0" collapsed="false">
      <c r="F12" s="145" t="s">
        <v>151</v>
      </c>
      <c r="G12" s="145" t="s">
        <v>154</v>
      </c>
      <c r="H12" s="145" t="s">
        <v>413</v>
      </c>
    </row>
    <row r="13" customFormat="false" ht="8.95" hidden="false" customHeight="true" outlineLevel="0" collapsed="false">
      <c r="F13" s="433"/>
      <c r="G13" s="433"/>
      <c r="H13" s="433"/>
    </row>
    <row r="14" customFormat="false" ht="17.35" hidden="false" customHeight="false" outlineLevel="0" collapsed="false">
      <c r="F14" s="434" t="n">
        <v>140</v>
      </c>
      <c r="G14" s="435" t="n">
        <f aca="false">F14*1.3546-0.76</f>
        <v>188.884</v>
      </c>
      <c r="H14" s="436" t="n">
        <f aca="false">G14*1.97</f>
        <v>372.10148</v>
      </c>
    </row>
    <row r="15" customFormat="false" ht="17.35" hidden="false" customHeight="false" outlineLevel="0" collapsed="false">
      <c r="F15" s="4"/>
      <c r="G15" s="4"/>
      <c r="H15" s="4"/>
    </row>
    <row r="16" customFormat="false" ht="17.35" hidden="false" customHeight="false" outlineLevel="0" collapsed="false">
      <c r="F16" s="4"/>
      <c r="G16" s="4"/>
      <c r="H16" s="4"/>
    </row>
    <row r="17" customFormat="false" ht="17.35" hidden="false" customHeight="false" outlineLevel="0" collapsed="false">
      <c r="F17" s="4"/>
      <c r="G17" s="4"/>
      <c r="H17" s="4"/>
    </row>
    <row r="18" customFormat="false" ht="17.35" hidden="false" customHeight="false" outlineLevel="0" collapsed="false">
      <c r="F18" s="145" t="s">
        <v>413</v>
      </c>
      <c r="G18" s="145" t="s">
        <v>154</v>
      </c>
      <c r="H18" s="145" t="s">
        <v>151</v>
      </c>
    </row>
    <row r="19" customFormat="false" ht="8.95" hidden="false" customHeight="true" outlineLevel="0" collapsed="false">
      <c r="F19" s="433"/>
      <c r="G19" s="433"/>
      <c r="H19" s="433"/>
    </row>
    <row r="20" customFormat="false" ht="17.35" hidden="false" customHeight="false" outlineLevel="0" collapsed="false">
      <c r="F20" s="434" t="n">
        <v>100</v>
      </c>
      <c r="G20" s="435" t="n">
        <f aca="false">F20/1.97</f>
        <v>50.761421319797</v>
      </c>
      <c r="H20" s="435" t="n">
        <f aca="false">(G20 + 0.76) / 1.3546</f>
        <v>38.0344170380902</v>
      </c>
    </row>
  </sheetData>
  <sheetProtection sheet="true" password="d3f5" objects="true" scenarios="true" selectLockedCells="true"/>
  <mergeCells count="1">
    <mergeCell ref="E3:I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1:R45"/>
  <sheetViews>
    <sheetView showFormulas="false" showGridLines="true" showRowColHeaders="false" showZeros="true" rightToLeft="false" tabSelected="false" showOutlineSymbols="false" defaultGridColor="true" view="normal" topLeftCell="A2" colorId="64" zoomScale="91" zoomScaleNormal="91" zoomScalePageLayoutView="100" workbookViewId="0">
      <selection pane="topLeft" activeCell="M21" activeCellId="0" sqref="M21"/>
    </sheetView>
  </sheetViews>
  <sheetFormatPr defaultColWidth="11.53515625" defaultRowHeight="15" zeroHeight="false" outlineLevelRow="0" outlineLevelCol="0"/>
  <cols>
    <col collapsed="false" customWidth="true" hidden="false" outlineLevel="0" max="1" min="1" style="105" width="2.46"/>
    <col collapsed="false" customWidth="true" hidden="false" outlineLevel="0" max="2" min="2" style="437" width="10.58"/>
    <col collapsed="false" customWidth="true" hidden="false" outlineLevel="0" max="3" min="3" style="437" width="20.7"/>
    <col collapsed="false" customWidth="true" hidden="false" outlineLevel="0" max="4" min="4" style="437" width="10.58"/>
    <col collapsed="false" customWidth="true" hidden="false" outlineLevel="0" max="5" min="5" style="437" width="9.47"/>
    <col collapsed="false" customWidth="true" hidden="false" outlineLevel="0" max="6" min="6" style="437" width="9.79"/>
    <col collapsed="false" customWidth="true" hidden="false" outlineLevel="0" max="7" min="7" style="437" width="9.69"/>
    <col collapsed="false" customWidth="true" hidden="false" outlineLevel="0" max="8" min="8" style="437" width="10.33"/>
    <col collapsed="false" customWidth="true" hidden="false" outlineLevel="0" max="9" min="9" style="437" width="12.44"/>
    <col collapsed="false" customWidth="true" hidden="false" outlineLevel="0" max="10" min="10" style="437" width="10.12"/>
    <col collapsed="false" customWidth="true" hidden="false" outlineLevel="0" max="11" min="11" style="437" width="8.34"/>
    <col collapsed="false" customWidth="true" hidden="false" outlineLevel="0" max="12" min="12" style="437" width="9.17"/>
    <col collapsed="false" customWidth="true" hidden="false" outlineLevel="0" max="13" min="13" style="437" width="8.19"/>
    <col collapsed="false" customWidth="true" hidden="false" outlineLevel="0" max="14" min="14" style="437" width="9.33"/>
    <col collapsed="false" customWidth="true" hidden="false" outlineLevel="0" max="23" min="15" style="437" width="16.11"/>
    <col collapsed="false" customWidth="false" hidden="false" outlineLevel="0" max="1021" min="24" style="437" width="11.52"/>
  </cols>
  <sheetData>
    <row r="1" customFormat="false" ht="18.65" hidden="false" customHeight="true" outlineLevel="0" collapsed="false">
      <c r="F1" s="105"/>
    </row>
    <row r="2" customFormat="false" ht="19.5" hidden="false" customHeight="true" outlineLevel="0" collapsed="false">
      <c r="G2" s="438" t="s">
        <v>414</v>
      </c>
      <c r="H2" s="438"/>
      <c r="I2" s="438"/>
      <c r="J2" s="438"/>
      <c r="K2" s="438"/>
      <c r="L2" s="438"/>
      <c r="M2" s="438"/>
      <c r="N2" s="438"/>
    </row>
    <row r="3" customFormat="false" ht="19.4" hidden="false" customHeight="true" outlineLevel="0" collapsed="false">
      <c r="G3" s="438"/>
      <c r="H3" s="438"/>
      <c r="I3" s="438"/>
      <c r="J3" s="438"/>
      <c r="K3" s="438"/>
      <c r="L3" s="438"/>
      <c r="M3" s="438"/>
      <c r="N3" s="438"/>
      <c r="R3" s="4"/>
    </row>
    <row r="4" customFormat="false" ht="17.15" hidden="false" customHeight="true" outlineLevel="0" collapsed="false">
      <c r="C4" s="105"/>
      <c r="D4" s="439"/>
      <c r="E4" s="439"/>
      <c r="F4" s="439"/>
      <c r="G4" s="105"/>
      <c r="H4" s="254" t="s">
        <v>415</v>
      </c>
      <c r="I4" s="254"/>
      <c r="J4" s="254"/>
      <c r="K4" s="254"/>
      <c r="L4" s="254"/>
      <c r="M4" s="105"/>
      <c r="N4" s="105"/>
      <c r="O4" s="439"/>
      <c r="P4" s="439"/>
      <c r="Q4" s="439"/>
      <c r="R4" s="440" t="s">
        <v>416</v>
      </c>
    </row>
    <row r="5" customFormat="false" ht="17.15" hidden="false" customHeight="true" outlineLevel="0" collapsed="false">
      <c r="C5" s="439"/>
      <c r="D5" s="439"/>
      <c r="E5" s="439"/>
      <c r="F5" s="439"/>
      <c r="G5" s="105"/>
      <c r="H5" s="441"/>
      <c r="I5" s="441"/>
      <c r="J5" s="441"/>
      <c r="K5" s="441"/>
      <c r="L5" s="105"/>
      <c r="M5" s="105"/>
      <c r="N5" s="105"/>
      <c r="O5" s="442" t="s">
        <v>417</v>
      </c>
      <c r="P5" s="442"/>
      <c r="Q5" s="442"/>
      <c r="R5" s="443" t="s">
        <v>116</v>
      </c>
    </row>
    <row r="6" customFormat="false" ht="17.15" hidden="false" customHeight="true" outlineLevel="0" collapsed="false">
      <c r="C6" s="439"/>
      <c r="D6" s="439"/>
      <c r="E6" s="439"/>
      <c r="F6" s="439"/>
      <c r="G6" s="439"/>
      <c r="H6" s="441" t="s">
        <v>418</v>
      </c>
      <c r="I6" s="441"/>
      <c r="J6" s="441"/>
      <c r="K6" s="441"/>
      <c r="L6" s="439"/>
      <c r="M6" s="439"/>
      <c r="N6" s="439"/>
      <c r="O6" s="442" t="s">
        <v>419</v>
      </c>
      <c r="P6" s="442" t="s">
        <v>420</v>
      </c>
      <c r="Q6" s="442" t="s">
        <v>421</v>
      </c>
      <c r="R6" s="443" t="s">
        <v>422</v>
      </c>
    </row>
    <row r="7" customFormat="false" ht="17.15" hidden="false" customHeight="true" outlineLevel="0" collapsed="false">
      <c r="H7" s="437" t="s">
        <v>195</v>
      </c>
      <c r="I7" s="437" t="s">
        <v>423</v>
      </c>
      <c r="J7" s="437" t="s">
        <v>268</v>
      </c>
      <c r="O7" s="437" t="s">
        <v>424</v>
      </c>
      <c r="P7" s="437" t="s">
        <v>425</v>
      </c>
      <c r="Q7" s="437" t="s">
        <v>426</v>
      </c>
      <c r="R7" s="443" t="s">
        <v>427</v>
      </c>
    </row>
    <row r="8" customFormat="false" ht="17.15" hidden="false" customHeight="true" outlineLevel="0" collapsed="false">
      <c r="B8" s="437" t="s">
        <v>428</v>
      </c>
      <c r="C8" s="437" t="s">
        <v>429</v>
      </c>
      <c r="F8" s="437" t="s">
        <v>253</v>
      </c>
      <c r="H8" s="437" t="s">
        <v>430</v>
      </c>
      <c r="I8" s="437" t="s">
        <v>431</v>
      </c>
      <c r="J8" s="437" t="s">
        <v>431</v>
      </c>
      <c r="K8" s="442" t="s">
        <v>432</v>
      </c>
      <c r="L8" s="442"/>
      <c r="M8" s="442"/>
      <c r="N8" s="443" t="s">
        <v>187</v>
      </c>
      <c r="O8" s="437" t="s">
        <v>433</v>
      </c>
      <c r="P8" s="437" t="s">
        <v>433</v>
      </c>
      <c r="Q8" s="437" t="s">
        <v>433</v>
      </c>
      <c r="R8" s="443" t="s">
        <v>434</v>
      </c>
    </row>
    <row r="9" customFormat="false" ht="17.15" hidden="false" customHeight="true" outlineLevel="0" collapsed="false">
      <c r="B9" s="437" t="s">
        <v>435</v>
      </c>
      <c r="C9" s="437" t="s">
        <v>436</v>
      </c>
      <c r="D9" s="437" t="s">
        <v>437</v>
      </c>
      <c r="E9" s="437" t="s">
        <v>438</v>
      </c>
      <c r="F9" s="437" t="s">
        <v>439</v>
      </c>
      <c r="G9" s="437" t="s">
        <v>440</v>
      </c>
      <c r="H9" s="437" t="s">
        <v>441</v>
      </c>
      <c r="I9" s="437" t="s">
        <v>442</v>
      </c>
      <c r="J9" s="437" t="s">
        <v>443</v>
      </c>
      <c r="K9" s="437" t="s">
        <v>263</v>
      </c>
      <c r="L9" s="437" t="s">
        <v>271</v>
      </c>
      <c r="M9" s="437" t="s">
        <v>444</v>
      </c>
      <c r="N9" s="443" t="s">
        <v>199</v>
      </c>
      <c r="O9" s="437" t="s">
        <v>445</v>
      </c>
      <c r="P9" s="437" t="s">
        <v>445</v>
      </c>
      <c r="Q9" s="437" t="s">
        <v>445</v>
      </c>
      <c r="R9" s="443" t="s">
        <v>446</v>
      </c>
    </row>
    <row r="10" customFormat="false" ht="7.45" hidden="false" customHeight="true" outlineLevel="0" collapsed="false"/>
    <row r="11" customFormat="false" ht="17.15" hidden="false" customHeight="true" outlineLevel="0" collapsed="false">
      <c r="B11" s="444" t="s">
        <v>290</v>
      </c>
      <c r="C11" s="444" t="s">
        <v>447</v>
      </c>
      <c r="D11" s="444" t="n">
        <v>2</v>
      </c>
      <c r="E11" s="445" t="n">
        <v>90.078</v>
      </c>
      <c r="F11" s="446" t="n">
        <v>0.88</v>
      </c>
      <c r="G11" s="447" t="n">
        <v>1.206</v>
      </c>
      <c r="H11" s="448" t="n">
        <f aca="false">F11*G11</f>
        <v>1.06128</v>
      </c>
      <c r="I11" s="449" t="n">
        <f aca="false">IF(B11="Liquid",1000*H11/E11,1000*H11/E11/G11)</f>
        <v>11.7817891160994</v>
      </c>
      <c r="J11" s="449" t="n">
        <f aca="false">I11*D11</f>
        <v>23.5635782321988</v>
      </c>
      <c r="K11" s="444" t="n">
        <v>3.86</v>
      </c>
      <c r="L11" s="444" t="n">
        <v>15.1</v>
      </c>
      <c r="M11" s="444"/>
      <c r="N11" s="450" t="n">
        <f aca="false">'Mash pH'!$H$17</f>
        <v>5.4</v>
      </c>
      <c r="O11" s="451" t="n">
        <f aca="false">1-1/(1+10^(N11-K11))</f>
        <v>0.971968132848304</v>
      </c>
      <c r="P11" s="451" t="n">
        <f aca="false">IF(L11&gt;0,1-1/(1+10^(N11-L11)),0)</f>
        <v>1.99526173361164E-010</v>
      </c>
      <c r="Q11" s="451" t="n">
        <f aca="false">IF(M11&gt;0,1-1/(1+10^(N11-M11)),0)</f>
        <v>0</v>
      </c>
      <c r="R11" s="452" t="n">
        <f aca="false">((O11*J11)+(P11*J11)+(Q11*J11))/D11</f>
        <v>11.4515235711384</v>
      </c>
    </row>
    <row r="12" customFormat="false" ht="17.15" hidden="false" customHeight="true" outlineLevel="0" collapsed="false">
      <c r="B12" s="444" t="s">
        <v>290</v>
      </c>
      <c r="C12" s="444" t="s">
        <v>448</v>
      </c>
      <c r="D12" s="444" t="n">
        <v>2</v>
      </c>
      <c r="E12" s="445" t="n">
        <v>90.078</v>
      </c>
      <c r="F12" s="446" t="n">
        <v>0.8</v>
      </c>
      <c r="G12" s="447" t="n">
        <v>1.187</v>
      </c>
      <c r="H12" s="448" t="n">
        <f aca="false">F12*G12</f>
        <v>0.9496</v>
      </c>
      <c r="I12" s="449" t="n">
        <f aca="false">IF(B12="Liquid",1000*H12/E12,1000*H12/E12/G12)</f>
        <v>10.5419747330092</v>
      </c>
      <c r="J12" s="449" t="n">
        <f aca="false">I12*D12</f>
        <v>21.0839494660183</v>
      </c>
      <c r="K12" s="444" t="n">
        <v>3.86</v>
      </c>
      <c r="L12" s="444" t="n">
        <v>15.1</v>
      </c>
      <c r="M12" s="444"/>
      <c r="N12" s="450" t="n">
        <f aca="false">'Mash pH'!$H$17</f>
        <v>5.4</v>
      </c>
      <c r="O12" s="451" t="n">
        <f aca="false">1-1/(1+10^(N12-K12))</f>
        <v>0.971968132848304</v>
      </c>
      <c r="P12" s="451" t="n">
        <f aca="false">IF(L12&gt;0,1-1/(1+10^(N12-L12)),0)</f>
        <v>1.99526173361164E-010</v>
      </c>
      <c r="Q12" s="451" t="n">
        <f aca="false">IF(M12&gt;0,1-1/(1+10^(N12-M12)),0)</f>
        <v>0</v>
      </c>
      <c r="R12" s="452" t="n">
        <f aca="false">((O12*J12)+(P12*J12)+(Q12*J12))/D12</f>
        <v>10.2464634998803</v>
      </c>
    </row>
    <row r="13" customFormat="false" ht="17.15" hidden="false" customHeight="true" outlineLevel="0" collapsed="false">
      <c r="B13" s="444" t="s">
        <v>290</v>
      </c>
      <c r="C13" s="444" t="s">
        <v>449</v>
      </c>
      <c r="D13" s="444" t="n">
        <v>3</v>
      </c>
      <c r="E13" s="445" t="n">
        <v>97.995</v>
      </c>
      <c r="F13" s="446" t="n">
        <v>0.85</v>
      </c>
      <c r="G13" s="447" t="n">
        <v>1.689</v>
      </c>
      <c r="H13" s="448" t="n">
        <f aca="false">F13*G13</f>
        <v>1.43565</v>
      </c>
      <c r="I13" s="449" t="n">
        <f aca="false">IF(B13="Liquid",1000*H13/E13,1000*H13/E13/G13)</f>
        <v>14.6502372570029</v>
      </c>
      <c r="J13" s="449" t="n">
        <f aca="false">I13*D13</f>
        <v>43.9507117710087</v>
      </c>
      <c r="K13" s="444" t="n">
        <v>2.16</v>
      </c>
      <c r="L13" s="444" t="n">
        <v>7.21</v>
      </c>
      <c r="M13" s="444" t="n">
        <v>12.32</v>
      </c>
      <c r="N13" s="450" t="n">
        <f aca="false">'Mash pH'!$H$17</f>
        <v>5.4</v>
      </c>
      <c r="O13" s="451" t="n">
        <f aca="false">1-1/(1+10^(N13-K13))</f>
        <v>0.999424891003348</v>
      </c>
      <c r="P13" s="451" t="n">
        <f aca="false">IF(L13&gt;0,1-1/(1+10^(N13-L13)),0)</f>
        <v>0.0152519415831778</v>
      </c>
      <c r="Q13" s="451" t="n">
        <f aca="false">IF(M13&gt;0,1-1/(1+10^(N13-M13)),0)</f>
        <v>1.20226429034531E-007</v>
      </c>
      <c r="R13" s="452" t="n">
        <f aca="false">((O13*J13)+(P13*J13)+(Q13*J13))/D13</f>
        <v>14.8652580979225</v>
      </c>
    </row>
    <row r="14" customFormat="false" ht="17.15" hidden="false" customHeight="true" outlineLevel="0" collapsed="false">
      <c r="B14" s="444" t="s">
        <v>290</v>
      </c>
      <c r="C14" s="444" t="s">
        <v>450</v>
      </c>
      <c r="D14" s="444" t="n">
        <v>3</v>
      </c>
      <c r="E14" s="445" t="n">
        <v>97.995</v>
      </c>
      <c r="F14" s="446" t="n">
        <v>0.75</v>
      </c>
      <c r="G14" s="447" t="n">
        <v>1.579</v>
      </c>
      <c r="H14" s="448" t="n">
        <f aca="false">F14*G14</f>
        <v>1.18425</v>
      </c>
      <c r="I14" s="449" t="n">
        <f aca="false">IF(B14="Liquid",1000*H14/E14,1000*H14/E14/G14)</f>
        <v>12.0848002449105</v>
      </c>
      <c r="J14" s="449" t="n">
        <f aca="false">I14*D14</f>
        <v>36.2544007347314</v>
      </c>
      <c r="K14" s="444" t="n">
        <v>2.16</v>
      </c>
      <c r="L14" s="444" t="n">
        <v>7.21</v>
      </c>
      <c r="M14" s="444" t="n">
        <v>12.32</v>
      </c>
      <c r="N14" s="450" t="n">
        <f aca="false">'Mash pH'!$H$17</f>
        <v>5.4</v>
      </c>
      <c r="O14" s="451" t="n">
        <f aca="false">1-1/(1+10^(N14-K14))</f>
        <v>0.999424891003348</v>
      </c>
      <c r="P14" s="451" t="n">
        <f aca="false">IF(L14&gt;0,1-1/(1+10^(N14-L14)),0)</f>
        <v>0.0152519415831778</v>
      </c>
      <c r="Q14" s="451" t="n">
        <f aca="false">IF(M14&gt;0,1-1/(1+10^(N14-M14)),0)</f>
        <v>1.20226429034531E-007</v>
      </c>
      <c r="R14" s="452" t="n">
        <f aca="false">((O14*J14)+(P14*J14)+(Q14*J14))/D14</f>
        <v>12.262168287859</v>
      </c>
    </row>
    <row r="15" customFormat="false" ht="17.15" hidden="false" customHeight="true" outlineLevel="0" collapsed="false">
      <c r="B15" s="444" t="s">
        <v>290</v>
      </c>
      <c r="C15" s="444" t="s">
        <v>451</v>
      </c>
      <c r="D15" s="444" t="n">
        <v>3</v>
      </c>
      <c r="E15" s="445" t="n">
        <v>97.995</v>
      </c>
      <c r="F15" s="446" t="n">
        <v>0.3</v>
      </c>
      <c r="G15" s="447" t="n">
        <v>1.1805</v>
      </c>
      <c r="H15" s="448" t="n">
        <f aca="false">F15*G15</f>
        <v>0.35415</v>
      </c>
      <c r="I15" s="449" t="n">
        <f aca="false">IF(B15="Liquid",1000*H15/E15,1000*H15/E15/G15)</f>
        <v>3.61395989591306</v>
      </c>
      <c r="J15" s="449" t="n">
        <f aca="false">I15*D15</f>
        <v>10.8418796877392</v>
      </c>
      <c r="K15" s="444" t="n">
        <v>2.16</v>
      </c>
      <c r="L15" s="444" t="n">
        <v>7.21</v>
      </c>
      <c r="M15" s="444" t="n">
        <v>12.32</v>
      </c>
      <c r="N15" s="450" t="n">
        <f aca="false">'Mash pH'!$H$17</f>
        <v>5.4</v>
      </c>
      <c r="O15" s="451" t="n">
        <f aca="false">1-1/(1+10^(N15-K15))</f>
        <v>0.999424891003348</v>
      </c>
      <c r="P15" s="451" t="n">
        <f aca="false">IF(L15&gt;0,1-1/(1+10^(N15-L15)),0)</f>
        <v>0.0152519415831778</v>
      </c>
      <c r="Q15" s="451" t="n">
        <f aca="false">IF(M15&gt;0,1-1/(1+10^(N15-M15)),0)</f>
        <v>1.20226429034531E-007</v>
      </c>
      <c r="R15" s="452" t="n">
        <f aca="false">((O15*J15)+(P15*J15)+(Q15*J15))/D15</f>
        <v>3.66700181477329</v>
      </c>
    </row>
    <row r="16" customFormat="false" ht="17.15" hidden="false" customHeight="true" outlineLevel="0" collapsed="false">
      <c r="B16" s="444" t="s">
        <v>290</v>
      </c>
      <c r="C16" s="444" t="s">
        <v>452</v>
      </c>
      <c r="D16" s="444" t="n">
        <v>3</v>
      </c>
      <c r="E16" s="445" t="n">
        <v>97.995</v>
      </c>
      <c r="F16" s="446" t="n">
        <v>0.1</v>
      </c>
      <c r="G16" s="447" t="n">
        <v>1.053</v>
      </c>
      <c r="H16" s="448" t="n">
        <f aca="false">F16*G16</f>
        <v>0.1053</v>
      </c>
      <c r="I16" s="449" t="n">
        <f aca="false">IF(B16="Liquid",1000*H16/E16,1000*H16/E16/G16)</f>
        <v>1.07454461962345</v>
      </c>
      <c r="J16" s="449" t="n">
        <f aca="false">I16*D16</f>
        <v>3.22363385887035</v>
      </c>
      <c r="K16" s="444" t="n">
        <v>2.16</v>
      </c>
      <c r="L16" s="444" t="n">
        <v>7.21</v>
      </c>
      <c r="M16" s="444" t="n">
        <v>12.32</v>
      </c>
      <c r="N16" s="450" t="n">
        <f aca="false">'Mash pH'!$H$17</f>
        <v>5.4</v>
      </c>
      <c r="O16" s="451" t="n">
        <f aca="false">1-1/(1+10^(N16-K16))</f>
        <v>0.999424891003348</v>
      </c>
      <c r="P16" s="451" t="n">
        <f aca="false">IF(L16&gt;0,1-1/(1+10^(N16-L16)),0)</f>
        <v>0.0152519415831778</v>
      </c>
      <c r="Q16" s="451" t="n">
        <f aca="false">IF(M16&gt;0,1-1/(1+10^(N16-M16)),0)</f>
        <v>1.20226429034531E-007</v>
      </c>
      <c r="R16" s="452" t="n">
        <f aca="false">((O16*J16)+(P16*J16)+(Q16*J16))/D16</f>
        <v>1.09031566030108</v>
      </c>
    </row>
    <row r="17" customFormat="false" ht="17.15" hidden="false" customHeight="true" outlineLevel="0" collapsed="false">
      <c r="B17" s="444" t="s">
        <v>453</v>
      </c>
      <c r="C17" s="444" t="s">
        <v>218</v>
      </c>
      <c r="D17" s="444" t="n">
        <v>3</v>
      </c>
      <c r="E17" s="445" t="n">
        <v>192.123</v>
      </c>
      <c r="F17" s="446" t="n">
        <v>1</v>
      </c>
      <c r="G17" s="447" t="n">
        <v>1.665</v>
      </c>
      <c r="H17" s="448" t="n">
        <f aca="false">F17*G17</f>
        <v>1.665</v>
      </c>
      <c r="I17" s="449" t="n">
        <f aca="false">IF(B17="Liquid",1000*H17/E17,1000*H17/E17/G17)</f>
        <v>5.20499888092524</v>
      </c>
      <c r="J17" s="449" t="n">
        <f aca="false">I17*D17</f>
        <v>15.6149966427757</v>
      </c>
      <c r="K17" s="444" t="n">
        <v>3.08</v>
      </c>
      <c r="L17" s="444" t="n">
        <v>4.76</v>
      </c>
      <c r="M17" s="444" t="n">
        <v>5.19</v>
      </c>
      <c r="N17" s="450" t="n">
        <f aca="false">'Mash pH'!$H$17</f>
        <v>5.4</v>
      </c>
      <c r="O17" s="451" t="n">
        <f aca="false">1-1/(1+10^(N17-K17))</f>
        <v>0.995236498627789</v>
      </c>
      <c r="P17" s="451" t="n">
        <f aca="false">IF(L17&gt;0,1-1/(1+10^(N17-L17)),0)</f>
        <v>0.813612210505587</v>
      </c>
      <c r="Q17" s="451" t="n">
        <f aca="false">IF(M17&gt;0,1-1/(1+10^(N17-M17)),0)</f>
        <v>0.618584122089031</v>
      </c>
      <c r="R17" s="452" t="n">
        <f aca="false">((O17*J17)+(P17*J17)+(Q17*J17))/D17</f>
        <v>12.6347851700338</v>
      </c>
    </row>
    <row r="18" customFormat="false" ht="17.15" hidden="false" customHeight="true" outlineLevel="0" collapsed="false">
      <c r="B18" s="444" t="s">
        <v>453</v>
      </c>
      <c r="C18" s="444" t="s">
        <v>454</v>
      </c>
      <c r="D18" s="444" t="n">
        <v>3</v>
      </c>
      <c r="E18" s="445" t="n">
        <v>210.14</v>
      </c>
      <c r="F18" s="446" t="n">
        <v>0.91426</v>
      </c>
      <c r="G18" s="447" t="n">
        <v>1.542</v>
      </c>
      <c r="H18" s="448" t="n">
        <f aca="false">F18*G18</f>
        <v>1.40978892</v>
      </c>
      <c r="I18" s="449" t="n">
        <f aca="false">IF(B18="Liquid",1000*H18/E18,1000*H18/E18/G18)</f>
        <v>4.35071856857333</v>
      </c>
      <c r="J18" s="449" t="n">
        <f aca="false">I18*D18</f>
        <v>13.05215570572</v>
      </c>
      <c r="K18" s="444" t="n">
        <v>3.08</v>
      </c>
      <c r="L18" s="444" t="n">
        <v>4.76</v>
      </c>
      <c r="M18" s="444" t="n">
        <v>5.19</v>
      </c>
      <c r="N18" s="450" t="n">
        <f aca="false">'Mash pH'!$H$17</f>
        <v>5.4</v>
      </c>
      <c r="O18" s="451" t="n">
        <f aca="false">1-1/(1+10^(N18-K18))</f>
        <v>0.995236498627789</v>
      </c>
      <c r="P18" s="451" t="n">
        <f aca="false">IF(L18&gt;0,1-1/(1+10^(N18-L18)),0)</f>
        <v>0.813612210505587</v>
      </c>
      <c r="Q18" s="451" t="n">
        <f aca="false">IF(M18&gt;0,1-1/(1+10^(N18-M18)),0)</f>
        <v>0.618584122089031</v>
      </c>
      <c r="R18" s="452" t="n">
        <f aca="false">((O18*J18)+(P18*J18)+(Q18*J18))/D18</f>
        <v>10.5610770927639</v>
      </c>
    </row>
    <row r="19" customFormat="false" ht="17.15" hidden="false" customHeight="true" outlineLevel="0" collapsed="false">
      <c r="B19" s="444" t="s">
        <v>453</v>
      </c>
      <c r="C19" s="444" t="s">
        <v>455</v>
      </c>
      <c r="D19" s="444" t="n">
        <v>2</v>
      </c>
      <c r="E19" s="445" t="n">
        <v>176.124</v>
      </c>
      <c r="F19" s="446" t="n">
        <v>1</v>
      </c>
      <c r="G19" s="447" t="n">
        <v>1.649</v>
      </c>
      <c r="H19" s="448" t="n">
        <f aca="false">F19*G19</f>
        <v>1.649</v>
      </c>
      <c r="I19" s="449" t="n">
        <f aca="false">IF(B19="Liquid",1000*H19/E19,1000*H19/E19/G19)</f>
        <v>5.67781790102428</v>
      </c>
      <c r="J19" s="449" t="n">
        <f aca="false">I19*D19</f>
        <v>11.3556358020486</v>
      </c>
      <c r="K19" s="444" t="n">
        <v>4.1</v>
      </c>
      <c r="L19" s="444" t="n">
        <v>11.6</v>
      </c>
      <c r="M19" s="444"/>
      <c r="N19" s="450" t="n">
        <f aca="false">'Mash pH'!$H$17</f>
        <v>5.4</v>
      </c>
      <c r="O19" s="451" t="n">
        <f aca="false">1-1/(1+10^(N19-K19))</f>
        <v>0.952273278965796</v>
      </c>
      <c r="P19" s="451" t="n">
        <f aca="false">IF(L19&gt;0,1-1/(1+10^(N19-L19)),0)</f>
        <v>6.30956946245931E-007</v>
      </c>
      <c r="Q19" s="451" t="n">
        <f aca="false">IF(M19&gt;0,1-1/(1+10^(N19-M19)),0)</f>
        <v>0</v>
      </c>
      <c r="R19" s="452" t="n">
        <f aca="false">((O19*J19)+(P19*J19)+(Q19*J19))/D19</f>
        <v>5.40683785243775</v>
      </c>
    </row>
    <row r="20" customFormat="false" ht="17.15" hidden="false" customHeight="true" outlineLevel="0" collapsed="false">
      <c r="B20" s="444" t="s">
        <v>453</v>
      </c>
      <c r="C20" s="444" t="s">
        <v>456</v>
      </c>
      <c r="D20" s="444" t="n">
        <v>-1</v>
      </c>
      <c r="E20" s="445" t="n">
        <v>84.0066</v>
      </c>
      <c r="F20" s="446" t="n">
        <v>1</v>
      </c>
      <c r="G20" s="447" t="n">
        <v>2.159</v>
      </c>
      <c r="H20" s="448" t="n">
        <f aca="false">F20*G20</f>
        <v>2.159</v>
      </c>
      <c r="I20" s="449" t="n">
        <f aca="false">IF(B20="Liquid",1000*H20/E20,1000*H20/E20/G20)</f>
        <v>11.9038266041002</v>
      </c>
      <c r="J20" s="449" t="n">
        <f aca="false">I20*D20</f>
        <v>-11.9038266041002</v>
      </c>
      <c r="K20" s="444" t="n">
        <v>10.33</v>
      </c>
      <c r="L20" s="444" t="n">
        <v>6.37</v>
      </c>
      <c r="M20" s="444"/>
      <c r="N20" s="450" t="n">
        <f aca="false">'Mash pH'!$H$17</f>
        <v>5.4</v>
      </c>
      <c r="O20" s="451" t="n">
        <f aca="false">1-1/(1+10^(N20-K20))</f>
        <v>1.17488375125374E-005</v>
      </c>
      <c r="P20" s="451" t="n">
        <f aca="false">IF(L20&gt;0,1-1/(1+10^(N20-L20)),0)</f>
        <v>0.0967815957048193</v>
      </c>
      <c r="Q20" s="451" t="n">
        <f aca="false">IF(M20&gt;0,1-1/(1+10^(N20-M20)),0)</f>
        <v>0</v>
      </c>
      <c r="R20" s="452" t="n">
        <f aca="false">J20+((O20*J20)+(P20*J20)+(Q20*J20))/D20</f>
        <v>-10.7516154142374</v>
      </c>
    </row>
    <row r="21" customFormat="false" ht="17.15" hidden="false" customHeight="true" outlineLevel="0" collapsed="false">
      <c r="B21" s="444" t="s">
        <v>453</v>
      </c>
      <c r="C21" s="444" t="s">
        <v>457</v>
      </c>
      <c r="D21" s="444" t="n">
        <v>-2</v>
      </c>
      <c r="E21" s="445" t="n">
        <v>74.093</v>
      </c>
      <c r="F21" s="446" t="n">
        <v>1</v>
      </c>
      <c r="G21" s="447" t="n">
        <v>2.211</v>
      </c>
      <c r="H21" s="448" t="n">
        <f aca="false">F21*G21</f>
        <v>2.211</v>
      </c>
      <c r="I21" s="449" t="n">
        <f aca="false">IF(B21="Liquid",1000*H21/E21,1000*H21/E21/G21)</f>
        <v>13.4965516310583</v>
      </c>
      <c r="J21" s="449" t="n">
        <f aca="false">I21*D21</f>
        <v>-26.9931032621165</v>
      </c>
      <c r="K21" s="444" t="n">
        <v>11.57</v>
      </c>
      <c r="L21" s="444" t="n">
        <v>12.63</v>
      </c>
      <c r="M21" s="444"/>
      <c r="N21" s="450" t="n">
        <f aca="false">'Mash pH'!$H$17</f>
        <v>5.4</v>
      </c>
      <c r="O21" s="451" t="n">
        <f aca="false">1-1/(1+10^(N21-K21))</f>
        <v>6.76082518302756E-007</v>
      </c>
      <c r="P21" s="451" t="n">
        <f aca="false">IF(L21&gt;0,1-1/(1+10^(N21-L21)),0)</f>
        <v>5.88843621640578E-008</v>
      </c>
      <c r="Q21" s="451" t="n">
        <f aca="false">IF(M21&gt;0,1-1/(1+10^(N21-M21)),0)</f>
        <v>0</v>
      </c>
      <c r="R21" s="452" t="n">
        <f aca="false">J21+((O21*J21)+(P21*J21)+(Q21*J21))/D21</f>
        <v>-26.993093342598</v>
      </c>
    </row>
    <row r="22" customFormat="false" ht="17.15" hidden="false" customHeight="true" outlineLevel="0" collapsed="false"/>
    <row r="23" customFormat="false" ht="17.15" hidden="false" customHeight="true" outlineLevel="0" collapsed="false"/>
    <row r="24" customFormat="false" ht="17.15" hidden="false" customHeight="true" outlineLevel="0" collapsed="false"/>
    <row r="25" customFormat="false" ht="17.15" hidden="false" customHeight="true" outlineLevel="0" collapsed="false"/>
    <row r="26" customFormat="false" ht="17.15" hidden="false" customHeight="true" outlineLevel="0" collapsed="false"/>
    <row r="27" customFormat="false" ht="17.15" hidden="false" customHeight="true" outlineLevel="0" collapsed="false"/>
    <row r="28" customFormat="false" ht="17.15" hidden="false" customHeight="true" outlineLevel="0" collapsed="false"/>
    <row r="29" customFormat="false" ht="17.15" hidden="false" customHeight="true" outlineLevel="0" collapsed="false"/>
    <row r="30" customFormat="false" ht="17.15" hidden="false" customHeight="true" outlineLevel="0" collapsed="false"/>
    <row r="31" customFormat="false" ht="17.15" hidden="false" customHeight="true" outlineLevel="0" collapsed="false"/>
    <row r="32" customFormat="false" ht="17.15" hidden="false" customHeight="true" outlineLevel="0" collapsed="false"/>
    <row r="33" customFormat="false" ht="17.15" hidden="false" customHeight="true" outlineLevel="0" collapsed="false"/>
    <row r="34" customFormat="false" ht="17.15" hidden="false" customHeight="true" outlineLevel="0" collapsed="false"/>
    <row r="35" customFormat="false" ht="17.15" hidden="false" customHeight="true" outlineLevel="0" collapsed="false"/>
    <row r="36" customFormat="false" ht="17.15" hidden="false" customHeight="true" outlineLevel="0" collapsed="false"/>
    <row r="37" customFormat="false" ht="17.15" hidden="false" customHeight="true" outlineLevel="0" collapsed="false"/>
    <row r="38" customFormat="false" ht="17.15" hidden="false" customHeight="true" outlineLevel="0" collapsed="false"/>
    <row r="39" customFormat="false" ht="17.15" hidden="false" customHeight="true" outlineLevel="0" collapsed="false"/>
    <row r="40" customFormat="false" ht="17.15" hidden="false" customHeight="true" outlineLevel="0" collapsed="false"/>
    <row r="41" customFormat="false" ht="17.15" hidden="false" customHeight="true" outlineLevel="0" collapsed="false"/>
    <row r="42" customFormat="false" ht="17.15" hidden="false" customHeight="true" outlineLevel="0" collapsed="false"/>
    <row r="43" customFormat="false" ht="17.15" hidden="false" customHeight="true" outlineLevel="0" collapsed="false"/>
    <row r="44" customFormat="false" ht="17.15" hidden="false" customHeight="true" outlineLevel="0" collapsed="false"/>
    <row r="45" customFormat="false" ht="17.15" hidden="false" customHeight="true" outlineLevel="0" collapsed="false"/>
  </sheetData>
  <sheetProtection sheet="true" password="d3f5" objects="true" scenarios="true" selectLockedCells="true"/>
  <mergeCells count="6">
    <mergeCell ref="G2:N3"/>
    <mergeCell ref="H4:L4"/>
    <mergeCell ref="H5:K5"/>
    <mergeCell ref="O5:Q5"/>
    <mergeCell ref="H6:K6"/>
    <mergeCell ref="K8:M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1:R45"/>
  <sheetViews>
    <sheetView showFormulas="false" showGridLines="true" showRowColHeaders="false" showZeros="true" rightToLeft="false" tabSelected="false" showOutlineSymbols="false" defaultGridColor="true" view="normal" topLeftCell="A1" colorId="64" zoomScale="91" zoomScaleNormal="91" zoomScalePageLayoutView="100" workbookViewId="0">
      <selection pane="topLeft" activeCell="M21" activeCellId="0" sqref="M21"/>
    </sheetView>
  </sheetViews>
  <sheetFormatPr defaultColWidth="11.53515625" defaultRowHeight="15" zeroHeight="false" outlineLevelRow="0" outlineLevelCol="0"/>
  <cols>
    <col collapsed="false" customWidth="true" hidden="false" outlineLevel="0" max="1" min="1" style="105" width="2.46"/>
    <col collapsed="false" customWidth="true" hidden="false" outlineLevel="0" max="2" min="2" style="437" width="10.58"/>
    <col collapsed="false" customWidth="true" hidden="false" outlineLevel="0" max="3" min="3" style="437" width="20.7"/>
    <col collapsed="false" customWidth="true" hidden="false" outlineLevel="0" max="4" min="4" style="437" width="10.58"/>
    <col collapsed="false" customWidth="true" hidden="false" outlineLevel="0" max="5" min="5" style="437" width="9.47"/>
    <col collapsed="false" customWidth="true" hidden="false" outlineLevel="0" max="6" min="6" style="437" width="9.79"/>
    <col collapsed="false" customWidth="true" hidden="false" outlineLevel="0" max="7" min="7" style="437" width="9.69"/>
    <col collapsed="false" customWidth="true" hidden="false" outlineLevel="0" max="8" min="8" style="437" width="10.33"/>
    <col collapsed="false" customWidth="true" hidden="false" outlineLevel="0" max="9" min="9" style="437" width="12.44"/>
    <col collapsed="false" customWidth="true" hidden="false" outlineLevel="0" max="10" min="10" style="437" width="10.12"/>
    <col collapsed="false" customWidth="true" hidden="false" outlineLevel="0" max="11" min="11" style="437" width="8.34"/>
    <col collapsed="false" customWidth="true" hidden="false" outlineLevel="0" max="12" min="12" style="437" width="9.17"/>
    <col collapsed="false" customWidth="true" hidden="false" outlineLevel="0" max="13" min="13" style="437" width="8.19"/>
    <col collapsed="false" customWidth="true" hidden="false" outlineLevel="0" max="14" min="14" style="437" width="9.33"/>
    <col collapsed="false" customWidth="true" hidden="false" outlineLevel="0" max="23" min="15" style="437" width="16.11"/>
    <col collapsed="false" customWidth="false" hidden="false" outlineLevel="0" max="1021" min="24" style="437" width="11.52"/>
  </cols>
  <sheetData>
    <row r="1" customFormat="false" ht="18.65" hidden="false" customHeight="true" outlineLevel="0" collapsed="false">
      <c r="F1" s="105"/>
    </row>
    <row r="2" customFormat="false" ht="19.5" hidden="false" customHeight="true" outlineLevel="0" collapsed="false">
      <c r="G2" s="438" t="s">
        <v>414</v>
      </c>
      <c r="H2" s="438"/>
      <c r="I2" s="438"/>
      <c r="J2" s="438"/>
      <c r="K2" s="438"/>
      <c r="L2" s="438"/>
      <c r="M2" s="438"/>
      <c r="N2" s="438"/>
    </row>
    <row r="3" customFormat="false" ht="19.4" hidden="false" customHeight="true" outlineLevel="0" collapsed="false">
      <c r="G3" s="438"/>
      <c r="H3" s="438"/>
      <c r="I3" s="438"/>
      <c r="J3" s="438"/>
      <c r="K3" s="438"/>
      <c r="L3" s="438"/>
      <c r="M3" s="438"/>
      <c r="N3" s="438"/>
      <c r="R3" s="4"/>
    </row>
    <row r="4" customFormat="false" ht="17.15" hidden="false" customHeight="true" outlineLevel="0" collapsed="false">
      <c r="C4" s="105"/>
      <c r="D4" s="439"/>
      <c r="E4" s="439"/>
      <c r="F4" s="439"/>
      <c r="G4" s="105"/>
      <c r="H4" s="254" t="s">
        <v>415</v>
      </c>
      <c r="I4" s="254"/>
      <c r="J4" s="254"/>
      <c r="K4" s="254"/>
      <c r="L4" s="254"/>
      <c r="M4" s="105"/>
      <c r="N4" s="105"/>
      <c r="O4" s="439"/>
      <c r="P4" s="439"/>
      <c r="Q4" s="439"/>
      <c r="R4" s="440" t="s">
        <v>416</v>
      </c>
    </row>
    <row r="5" customFormat="false" ht="17.15" hidden="false" customHeight="true" outlineLevel="0" collapsed="false">
      <c r="C5" s="439"/>
      <c r="D5" s="439"/>
      <c r="E5" s="439"/>
      <c r="F5" s="439"/>
      <c r="G5" s="105"/>
      <c r="H5" s="441"/>
      <c r="I5" s="441"/>
      <c r="J5" s="441"/>
      <c r="K5" s="441"/>
      <c r="L5" s="105"/>
      <c r="M5" s="105"/>
      <c r="N5" s="105"/>
      <c r="O5" s="442" t="s">
        <v>417</v>
      </c>
      <c r="P5" s="442"/>
      <c r="Q5" s="442"/>
      <c r="R5" s="443" t="s">
        <v>116</v>
      </c>
    </row>
    <row r="6" customFormat="false" ht="17.15" hidden="false" customHeight="true" outlineLevel="0" collapsed="false">
      <c r="C6" s="439"/>
      <c r="D6" s="439"/>
      <c r="E6" s="439"/>
      <c r="F6" s="439"/>
      <c r="G6" s="439"/>
      <c r="H6" s="441" t="s">
        <v>418</v>
      </c>
      <c r="I6" s="441"/>
      <c r="J6" s="441"/>
      <c r="K6" s="441"/>
      <c r="L6" s="439"/>
      <c r="M6" s="439"/>
      <c r="N6" s="439"/>
      <c r="O6" s="442" t="s">
        <v>419</v>
      </c>
      <c r="P6" s="442" t="s">
        <v>420</v>
      </c>
      <c r="Q6" s="442" t="s">
        <v>421</v>
      </c>
      <c r="R6" s="443" t="s">
        <v>422</v>
      </c>
    </row>
    <row r="7" customFormat="false" ht="17.15" hidden="false" customHeight="true" outlineLevel="0" collapsed="false">
      <c r="H7" s="437" t="s">
        <v>195</v>
      </c>
      <c r="I7" s="437" t="s">
        <v>423</v>
      </c>
      <c r="J7" s="437" t="s">
        <v>268</v>
      </c>
      <c r="O7" s="437" t="s">
        <v>424</v>
      </c>
      <c r="P7" s="437" t="s">
        <v>425</v>
      </c>
      <c r="Q7" s="437" t="s">
        <v>426</v>
      </c>
      <c r="R7" s="443" t="s">
        <v>427</v>
      </c>
    </row>
    <row r="8" customFormat="false" ht="17.15" hidden="false" customHeight="true" outlineLevel="0" collapsed="false">
      <c r="B8" s="437" t="s">
        <v>428</v>
      </c>
      <c r="C8" s="437" t="s">
        <v>429</v>
      </c>
      <c r="F8" s="437" t="s">
        <v>253</v>
      </c>
      <c r="H8" s="437" t="s">
        <v>430</v>
      </c>
      <c r="I8" s="437" t="s">
        <v>431</v>
      </c>
      <c r="J8" s="437" t="s">
        <v>431</v>
      </c>
      <c r="K8" s="442" t="s">
        <v>432</v>
      </c>
      <c r="L8" s="442"/>
      <c r="M8" s="442"/>
      <c r="N8" s="443" t="s">
        <v>187</v>
      </c>
      <c r="O8" s="437" t="s">
        <v>433</v>
      </c>
      <c r="P8" s="437" t="s">
        <v>433</v>
      </c>
      <c r="Q8" s="437" t="s">
        <v>433</v>
      </c>
      <c r="R8" s="443" t="s">
        <v>434</v>
      </c>
    </row>
    <row r="9" customFormat="false" ht="17.15" hidden="false" customHeight="true" outlineLevel="0" collapsed="false">
      <c r="B9" s="437" t="s">
        <v>435</v>
      </c>
      <c r="C9" s="437" t="s">
        <v>436</v>
      </c>
      <c r="D9" s="437" t="s">
        <v>437</v>
      </c>
      <c r="E9" s="437" t="s">
        <v>438</v>
      </c>
      <c r="F9" s="437" t="s">
        <v>439</v>
      </c>
      <c r="G9" s="437" t="s">
        <v>440</v>
      </c>
      <c r="H9" s="437" t="s">
        <v>441</v>
      </c>
      <c r="I9" s="437" t="s">
        <v>442</v>
      </c>
      <c r="J9" s="437" t="s">
        <v>443</v>
      </c>
      <c r="K9" s="437" t="s">
        <v>263</v>
      </c>
      <c r="L9" s="437" t="s">
        <v>271</v>
      </c>
      <c r="M9" s="437" t="s">
        <v>444</v>
      </c>
      <c r="N9" s="443" t="s">
        <v>199</v>
      </c>
      <c r="O9" s="437" t="s">
        <v>445</v>
      </c>
      <c r="P9" s="437" t="s">
        <v>445</v>
      </c>
      <c r="Q9" s="437" t="s">
        <v>445</v>
      </c>
      <c r="R9" s="443" t="s">
        <v>446</v>
      </c>
    </row>
    <row r="10" customFormat="false" ht="7.45" hidden="false" customHeight="true" outlineLevel="0" collapsed="false"/>
    <row r="11" customFormat="false" ht="17.15" hidden="false" customHeight="true" outlineLevel="0" collapsed="false">
      <c r="B11" s="444" t="s">
        <v>290</v>
      </c>
      <c r="C11" s="444" t="s">
        <v>204</v>
      </c>
      <c r="D11" s="444" t="n">
        <v>2</v>
      </c>
      <c r="E11" s="445" t="n">
        <v>90.078</v>
      </c>
      <c r="F11" s="446" t="n">
        <v>0.88</v>
      </c>
      <c r="G11" s="447" t="n">
        <v>1.206</v>
      </c>
      <c r="H11" s="448" t="n">
        <f aca="false">F11*G11</f>
        <v>1.06128</v>
      </c>
      <c r="I11" s="449" t="n">
        <f aca="false">IF(B11="Liquid",1000*H11/E11,1000*H11/E11/G11)</f>
        <v>11.7817891160994</v>
      </c>
      <c r="J11" s="449" t="n">
        <f aca="false">I11*D11</f>
        <v>23.5635782321988</v>
      </c>
      <c r="K11" s="444" t="n">
        <v>3.86</v>
      </c>
      <c r="L11" s="444" t="n">
        <v>15.1</v>
      </c>
      <c r="M11" s="444"/>
      <c r="N11" s="450" t="n">
        <f aca="false">'Sparge H2O Adj.'!$G$11</f>
        <v>5.5</v>
      </c>
      <c r="O11" s="451" t="n">
        <f aca="false">1-1/(1+10^(N11-K11))</f>
        <v>0.97760437754283</v>
      </c>
      <c r="P11" s="451" t="n">
        <f aca="false">IF(L11&gt;0,1-1/(1+10^(N11-L11)),0)</f>
        <v>2.51188625455256E-010</v>
      </c>
      <c r="Q11" s="451" t="n">
        <f aca="false">IF(M11&gt;0,1-1/(1+10^(N11-M11)),0)</f>
        <v>0</v>
      </c>
      <c r="R11" s="452" t="n">
        <f aca="false">((O11*J11)+(P11*J11)+(Q11*J11))/D11</f>
        <v>11.5179286181447</v>
      </c>
    </row>
    <row r="12" customFormat="false" ht="17.15" hidden="false" customHeight="true" outlineLevel="0" collapsed="false">
      <c r="B12" s="444" t="s">
        <v>290</v>
      </c>
      <c r="C12" s="444" t="s">
        <v>214</v>
      </c>
      <c r="D12" s="444" t="n">
        <v>2</v>
      </c>
      <c r="E12" s="445" t="n">
        <v>90.078</v>
      </c>
      <c r="F12" s="446" t="n">
        <v>0.8</v>
      </c>
      <c r="G12" s="447" t="n">
        <v>1.187</v>
      </c>
      <c r="H12" s="448" t="n">
        <f aca="false">F12*G12</f>
        <v>0.9496</v>
      </c>
      <c r="I12" s="449" t="n">
        <f aca="false">IF(B12="Liquid",1000*H12/E12,1000*H12/E12/G12)</f>
        <v>10.5419747330092</v>
      </c>
      <c r="J12" s="449" t="n">
        <f aca="false">I12*D12</f>
        <v>21.0839494660183</v>
      </c>
      <c r="K12" s="444" t="n">
        <v>3.86</v>
      </c>
      <c r="L12" s="444" t="n">
        <v>15.1</v>
      </c>
      <c r="M12" s="444"/>
      <c r="N12" s="450" t="n">
        <f aca="false">'Sparge H2O Adj.'!$G$11</f>
        <v>5.5</v>
      </c>
      <c r="O12" s="451" t="n">
        <f aca="false">1-1/(1+10^(N12-K12))</f>
        <v>0.97760437754283</v>
      </c>
      <c r="P12" s="451" t="n">
        <f aca="false">IF(L12&gt;0,1-1/(1+10^(N12-L12)),0)</f>
        <v>2.51188625455256E-010</v>
      </c>
      <c r="Q12" s="451" t="n">
        <f aca="false">IF(M12&gt;0,1-1/(1+10^(N12-M12)),0)</f>
        <v>0</v>
      </c>
      <c r="R12" s="452" t="n">
        <f aca="false">((O12*J12)+(P12*J12)+(Q12*J12))/D12</f>
        <v>10.3058806495837</v>
      </c>
    </row>
    <row r="13" customFormat="false" ht="17.15" hidden="false" customHeight="true" outlineLevel="0" collapsed="false">
      <c r="B13" s="444" t="s">
        <v>290</v>
      </c>
      <c r="C13" s="444" t="s">
        <v>212</v>
      </c>
      <c r="D13" s="444" t="n">
        <v>3</v>
      </c>
      <c r="E13" s="445" t="n">
        <v>97.995</v>
      </c>
      <c r="F13" s="446" t="n">
        <v>0.85</v>
      </c>
      <c r="G13" s="447" t="n">
        <v>1.689</v>
      </c>
      <c r="H13" s="448" t="n">
        <f aca="false">F13*G13</f>
        <v>1.43565</v>
      </c>
      <c r="I13" s="449" t="n">
        <f aca="false">IF(B13="Liquid",1000*H13/E13,1000*H13/E13/G13)</f>
        <v>14.6502372570029</v>
      </c>
      <c r="J13" s="449" t="n">
        <f aca="false">I13*D13</f>
        <v>43.9507117710087</v>
      </c>
      <c r="K13" s="444" t="n">
        <v>2.16</v>
      </c>
      <c r="L13" s="444" t="n">
        <v>7.21</v>
      </c>
      <c r="M13" s="444" t="n">
        <v>12.32</v>
      </c>
      <c r="N13" s="450" t="n">
        <f aca="false">'Sparge H2O Adj.'!$G$11</f>
        <v>5.5</v>
      </c>
      <c r="O13" s="451" t="n">
        <f aca="false">1-1/(1+10^(N13-K13))</f>
        <v>0.999543120644542</v>
      </c>
      <c r="P13" s="451" t="n">
        <f aca="false">IF(L13&gt;0,1-1/(1+10^(N13-L13)),0)</f>
        <v>0.0191255279241757</v>
      </c>
      <c r="Q13" s="451" t="n">
        <f aca="false">IF(M13&gt;0,1-1/(1+10^(N13-M13)),0)</f>
        <v>1.51356101874001E-007</v>
      </c>
      <c r="R13" s="452" t="n">
        <f aca="false">((O13*J13)+(P13*J13)+(Q13*J13))/D13</f>
        <v>14.923739605205</v>
      </c>
    </row>
    <row r="14" customFormat="false" ht="17.15" hidden="false" customHeight="true" outlineLevel="0" collapsed="false">
      <c r="B14" s="444" t="s">
        <v>290</v>
      </c>
      <c r="C14" s="444" t="s">
        <v>210</v>
      </c>
      <c r="D14" s="444" t="n">
        <v>3</v>
      </c>
      <c r="E14" s="445" t="n">
        <v>97.995</v>
      </c>
      <c r="F14" s="446" t="n">
        <v>0.75</v>
      </c>
      <c r="G14" s="447" t="n">
        <v>1.579</v>
      </c>
      <c r="H14" s="448" t="n">
        <f aca="false">F14*G14</f>
        <v>1.18425</v>
      </c>
      <c r="I14" s="449" t="n">
        <f aca="false">IF(B14="Liquid",1000*H14/E14,1000*H14/E14/G14)</f>
        <v>12.0848002449105</v>
      </c>
      <c r="J14" s="449" t="n">
        <f aca="false">I14*D14</f>
        <v>36.2544007347314</v>
      </c>
      <c r="K14" s="444" t="n">
        <v>2.16</v>
      </c>
      <c r="L14" s="444" t="n">
        <v>7.21</v>
      </c>
      <c r="M14" s="444" t="n">
        <v>12.32</v>
      </c>
      <c r="N14" s="450" t="n">
        <f aca="false">'Sparge H2O Adj.'!$G$11</f>
        <v>5.5</v>
      </c>
      <c r="O14" s="451" t="n">
        <f aca="false">1-1/(1+10^(N14-K14))</f>
        <v>0.999543120644542</v>
      </c>
      <c r="P14" s="451" t="n">
        <f aca="false">IF(L14&gt;0,1-1/(1+10^(N14-L14)),0)</f>
        <v>0.0191255279241757</v>
      </c>
      <c r="Q14" s="451" t="n">
        <f aca="false">IF(M14&gt;0,1-1/(1+10^(N14-M14)),0)</f>
        <v>1.51356101874001E-007</v>
      </c>
      <c r="R14" s="452" t="n">
        <f aca="false">((O14*J14)+(P14*J14)+(Q14*J14))/D14</f>
        <v>12.3104089628141</v>
      </c>
    </row>
    <row r="15" customFormat="false" ht="17.15" hidden="false" customHeight="true" outlineLevel="0" collapsed="false">
      <c r="B15" s="444" t="s">
        <v>290</v>
      </c>
      <c r="C15" s="444" t="s">
        <v>217</v>
      </c>
      <c r="D15" s="444"/>
      <c r="E15" s="445"/>
      <c r="F15" s="446"/>
      <c r="G15" s="447"/>
      <c r="H15" s="448"/>
      <c r="I15" s="449"/>
      <c r="J15" s="449"/>
      <c r="K15" s="444"/>
      <c r="L15" s="444"/>
      <c r="M15" s="444"/>
      <c r="N15" s="450" t="n">
        <f aca="false">'Sparge H2O Adj.'!$G$11</f>
        <v>5.5</v>
      </c>
      <c r="O15" s="451" t="n">
        <v>1</v>
      </c>
      <c r="P15" s="451"/>
      <c r="Q15" s="451"/>
      <c r="R15" s="452" t="n">
        <v>3.6553</v>
      </c>
    </row>
    <row r="16" customFormat="false" ht="17.15" hidden="false" customHeight="true" outlineLevel="0" collapsed="false">
      <c r="B16" s="444" t="s">
        <v>290</v>
      </c>
      <c r="C16" s="444" t="s">
        <v>208</v>
      </c>
      <c r="D16" s="444" t="n">
        <v>3</v>
      </c>
      <c r="E16" s="445" t="n">
        <v>97.995</v>
      </c>
      <c r="F16" s="446" t="n">
        <v>0.1</v>
      </c>
      <c r="G16" s="447" t="n">
        <v>1.053</v>
      </c>
      <c r="H16" s="448" t="n">
        <f aca="false">F16*G16</f>
        <v>0.1053</v>
      </c>
      <c r="I16" s="449" t="n">
        <f aca="false">IF(B16="Liquid",1000*H16/E16,1000*H16/E16/G16)</f>
        <v>1.07454461962345</v>
      </c>
      <c r="J16" s="449" t="n">
        <f aca="false">I16*D16</f>
        <v>3.22363385887035</v>
      </c>
      <c r="K16" s="444" t="n">
        <v>2.16</v>
      </c>
      <c r="L16" s="444" t="n">
        <v>7.21</v>
      </c>
      <c r="M16" s="444" t="n">
        <v>12.32</v>
      </c>
      <c r="N16" s="450" t="n">
        <f aca="false">'Sparge H2O Adj.'!$G$11</f>
        <v>5.5</v>
      </c>
      <c r="O16" s="451" t="n">
        <f aca="false">1-1/(1+10^(N16-K16))</f>
        <v>0.999543120644542</v>
      </c>
      <c r="P16" s="451" t="n">
        <f aca="false">IF(L16&gt;0,1-1/(1+10^(N16-L16)),0)</f>
        <v>0.0191255279241757</v>
      </c>
      <c r="Q16" s="451" t="n">
        <f aca="false">IF(M16&gt;0,1-1/(1+10^(N16-M16)),0)</f>
        <v>1.51356101874001E-007</v>
      </c>
      <c r="R16" s="452" t="n">
        <f aca="false">((O16*J16)+(P16*J16)+(Q16*J16))/D16</f>
        <v>1.09460507813749</v>
      </c>
    </row>
    <row r="17" customFormat="false" ht="17.15" hidden="false" customHeight="true" outlineLevel="0" collapsed="false">
      <c r="B17" s="444" t="s">
        <v>453</v>
      </c>
      <c r="C17" s="444" t="s">
        <v>218</v>
      </c>
      <c r="D17" s="444" t="n">
        <v>3</v>
      </c>
      <c r="E17" s="445" t="n">
        <v>192.123</v>
      </c>
      <c r="F17" s="446" t="n">
        <v>1</v>
      </c>
      <c r="G17" s="447" t="n">
        <v>1.665</v>
      </c>
      <c r="H17" s="448" t="n">
        <f aca="false">F17*G17</f>
        <v>1.665</v>
      </c>
      <c r="I17" s="449" t="n">
        <f aca="false">IF(B17="Liquid",1000*H17/E17,1000*H17/E17/G17)</f>
        <v>5.20499888092524</v>
      </c>
      <c r="J17" s="449" t="n">
        <f aca="false">I17*D17</f>
        <v>15.6149966427757</v>
      </c>
      <c r="K17" s="444" t="n">
        <v>3.08</v>
      </c>
      <c r="L17" s="444" t="n">
        <v>4.76</v>
      </c>
      <c r="M17" s="444" t="n">
        <v>5.19</v>
      </c>
      <c r="N17" s="450" t="n">
        <f aca="false">'Sparge H2O Adj.'!$G$11</f>
        <v>5.5</v>
      </c>
      <c r="O17" s="451" t="n">
        <f aca="false">1-1/(1+10^(N17-K17))</f>
        <v>0.996212505688553</v>
      </c>
      <c r="P17" s="451" t="n">
        <f aca="false">IF(L17&gt;0,1-1/(1+10^(N17-L17)),0)</f>
        <v>0.846045100432095</v>
      </c>
      <c r="Q17" s="451" t="n">
        <f aca="false">IF(M17&gt;0,1-1/(1+10^(N17-M17)),0)</f>
        <v>0.671240580815832</v>
      </c>
      <c r="R17" s="452" t="n">
        <f aca="false">((O17*J17)+(P17*J17)+(Q17*J17))/D17</f>
        <v>13.082755250212</v>
      </c>
    </row>
    <row r="18" customFormat="false" ht="17.15" hidden="false" customHeight="true" outlineLevel="0" collapsed="false">
      <c r="B18" s="444" t="s">
        <v>453</v>
      </c>
      <c r="C18" s="444" t="s">
        <v>454</v>
      </c>
      <c r="D18" s="444" t="n">
        <v>3</v>
      </c>
      <c r="E18" s="445" t="n">
        <v>210.14</v>
      </c>
      <c r="F18" s="446" t="n">
        <v>0.91426</v>
      </c>
      <c r="G18" s="447" t="n">
        <v>1.542</v>
      </c>
      <c r="H18" s="448" t="n">
        <f aca="false">F18*G18</f>
        <v>1.40978892</v>
      </c>
      <c r="I18" s="449" t="n">
        <f aca="false">IF(B18="Liquid",1000*H18/E18,1000*H18/E18/G18)</f>
        <v>4.35071856857333</v>
      </c>
      <c r="J18" s="449" t="n">
        <f aca="false">I18*D18</f>
        <v>13.05215570572</v>
      </c>
      <c r="K18" s="444" t="n">
        <v>3.08</v>
      </c>
      <c r="L18" s="444" t="n">
        <v>4.76</v>
      </c>
      <c r="M18" s="444" t="n">
        <v>5.19</v>
      </c>
      <c r="N18" s="450" t="n">
        <f aca="false">'Sparge H2O Adj.'!$G$11</f>
        <v>5.5</v>
      </c>
      <c r="O18" s="451" t="n">
        <f aca="false">1-1/(1+10^(N18-K18))</f>
        <v>0.996212505688553</v>
      </c>
      <c r="P18" s="451" t="n">
        <f aca="false">IF(L18&gt;0,1-1/(1+10^(N18-L18)),0)</f>
        <v>0.846045100432095</v>
      </c>
      <c r="Q18" s="451" t="n">
        <f aca="false">IF(M18&gt;0,1-1/(1+10^(N18-M18)),0)</f>
        <v>0.671240580815832</v>
      </c>
      <c r="R18" s="452" t="n">
        <f aca="false">((O18*J18)+(P18*J18)+(Q18*J18))/D18</f>
        <v>10.9355232339799</v>
      </c>
    </row>
    <row r="19" customFormat="false" ht="17.15" hidden="false" customHeight="true" outlineLevel="0" collapsed="false">
      <c r="B19" s="444" t="s">
        <v>453</v>
      </c>
      <c r="C19" s="444" t="s">
        <v>455</v>
      </c>
      <c r="D19" s="444" t="n">
        <v>2</v>
      </c>
      <c r="E19" s="445" t="n">
        <v>176.124</v>
      </c>
      <c r="F19" s="446" t="n">
        <v>1</v>
      </c>
      <c r="G19" s="447" t="n">
        <v>1.649</v>
      </c>
      <c r="H19" s="448" t="n">
        <f aca="false">F19*G19</f>
        <v>1.649</v>
      </c>
      <c r="I19" s="449" t="n">
        <f aca="false">IF(B19="Liquid",1000*H19/E19,1000*H19/E19/G19)</f>
        <v>5.67781790102428</v>
      </c>
      <c r="J19" s="449" t="n">
        <f aca="false">I19*D19</f>
        <v>11.3556358020486</v>
      </c>
      <c r="K19" s="444" t="n">
        <v>4.1</v>
      </c>
      <c r="L19" s="444" t="n">
        <v>11.6</v>
      </c>
      <c r="M19" s="444"/>
      <c r="N19" s="450" t="n">
        <f aca="false">'Sparge H2O Adj.'!$G$11</f>
        <v>5.5</v>
      </c>
      <c r="O19" s="451" t="n">
        <f aca="false">1-1/(1+10^(N19-K19))</f>
        <v>0.961713496117745</v>
      </c>
      <c r="P19" s="451" t="n">
        <f aca="false">IF(L19&gt;0,1-1/(1+10^(N19-L19)),0)</f>
        <v>7.94327603803602E-007</v>
      </c>
      <c r="Q19" s="451" t="n">
        <f aca="false">IF(M19&gt;0,1-1/(1+10^(N19-M19)),0)</f>
        <v>0</v>
      </c>
      <c r="R19" s="452" t="n">
        <f aca="false">((O19*J19)+(P19*J19)+(Q19*J19))/D19</f>
        <v>5.46043861396147</v>
      </c>
    </row>
    <row r="20" customFormat="false" ht="17.15" hidden="false" customHeight="true" outlineLevel="0" collapsed="false">
      <c r="B20" s="444" t="s">
        <v>453</v>
      </c>
      <c r="C20" s="444" t="s">
        <v>456</v>
      </c>
      <c r="D20" s="444" t="n">
        <v>-1</v>
      </c>
      <c r="E20" s="445" t="n">
        <v>84.0066</v>
      </c>
      <c r="F20" s="446" t="n">
        <v>1</v>
      </c>
      <c r="G20" s="447" t="n">
        <v>2.159</v>
      </c>
      <c r="H20" s="448" t="n">
        <f aca="false">F20*G20</f>
        <v>2.159</v>
      </c>
      <c r="I20" s="449" t="n">
        <f aca="false">IF(B20="Liquid",1000*H20/E20,1000*H20/E20/G20)</f>
        <v>11.9038266041002</v>
      </c>
      <c r="J20" s="449" t="n">
        <f aca="false">I20*D20</f>
        <v>-11.9038266041002</v>
      </c>
      <c r="K20" s="444" t="n">
        <v>10.33</v>
      </c>
      <c r="L20" s="444"/>
      <c r="M20" s="444"/>
      <c r="N20" s="450" t="n">
        <f aca="false">'Sparge H2O Adj.'!$G$11</f>
        <v>5.5</v>
      </c>
      <c r="O20" s="451" t="n">
        <f aca="false">1-1/(1+10^(N20-K20))</f>
        <v>1.47908651088047E-005</v>
      </c>
      <c r="P20" s="451" t="n">
        <f aca="false">IF(L20&gt;0,1-1/(1+10^(N20-L20)),0)</f>
        <v>0</v>
      </c>
      <c r="Q20" s="451" t="n">
        <f aca="false">IF(M20&gt;0,1-1/(1+10^(N20-M20)),0)</f>
        <v>0</v>
      </c>
      <c r="R20" s="452" t="n">
        <f aca="false">J20+((O20*J20)+(P20*J20)+(Q20*J20))/D20</f>
        <v>-11.9036505362066</v>
      </c>
    </row>
    <row r="21" customFormat="false" ht="17.15" hidden="false" customHeight="true" outlineLevel="0" collapsed="false">
      <c r="B21" s="444" t="s">
        <v>453</v>
      </c>
      <c r="C21" s="444" t="s">
        <v>457</v>
      </c>
      <c r="D21" s="444" t="n">
        <v>-2</v>
      </c>
      <c r="E21" s="445" t="n">
        <v>74.093</v>
      </c>
      <c r="F21" s="446" t="n">
        <v>1</v>
      </c>
      <c r="G21" s="447" t="n">
        <v>2.211</v>
      </c>
      <c r="H21" s="448" t="n">
        <f aca="false">F21*G21</f>
        <v>2.211</v>
      </c>
      <c r="I21" s="449" t="n">
        <f aca="false">IF(B21="Liquid",1000*H21/E21,1000*H21/E21/G21)</f>
        <v>13.4965516310583</v>
      </c>
      <c r="J21" s="449" t="n">
        <f aca="false">I21*D21</f>
        <v>-26.9931032621165</v>
      </c>
      <c r="K21" s="444" t="n">
        <v>11.57</v>
      </c>
      <c r="L21" s="444" t="n">
        <v>12.63</v>
      </c>
      <c r="M21" s="444"/>
      <c r="N21" s="450" t="n">
        <f aca="false">'Sparge H2O Adj.'!$G$11</f>
        <v>5.5</v>
      </c>
      <c r="O21" s="451" t="n">
        <f aca="false">1-1/(1+10^(N21-K21))</f>
        <v>8.51137313850892E-007</v>
      </c>
      <c r="P21" s="451" t="n">
        <f aca="false">IF(L21&gt;0,1-1/(1+10^(N21-L21)),0)</f>
        <v>7.41310187679645E-008</v>
      </c>
      <c r="Q21" s="451" t="n">
        <f aca="false">IF(M21&gt;0,1-1/(1+10^(N21-M21)),0)</f>
        <v>0</v>
      </c>
      <c r="R21" s="452" t="n">
        <f aca="false">J21+((O21*J21)+(P21*J21)+(Q21*J21))/D21</f>
        <v>-26.9930907741847</v>
      </c>
    </row>
    <row r="22" customFormat="false" ht="17.15" hidden="false" customHeight="true" outlineLevel="0" collapsed="false"/>
    <row r="23" customFormat="false" ht="17.15" hidden="false" customHeight="true" outlineLevel="0" collapsed="false"/>
    <row r="24" customFormat="false" ht="17.15" hidden="false" customHeight="true" outlineLevel="0" collapsed="false"/>
    <row r="25" customFormat="false" ht="17.15" hidden="false" customHeight="true" outlineLevel="0" collapsed="false"/>
    <row r="26" customFormat="false" ht="17.15" hidden="false" customHeight="true" outlineLevel="0" collapsed="false"/>
    <row r="27" customFormat="false" ht="17.15" hidden="false" customHeight="true" outlineLevel="0" collapsed="false"/>
    <row r="28" customFormat="false" ht="17.15" hidden="false" customHeight="true" outlineLevel="0" collapsed="false"/>
    <row r="29" customFormat="false" ht="17.15" hidden="false" customHeight="true" outlineLevel="0" collapsed="false"/>
    <row r="30" customFormat="false" ht="17.15" hidden="false" customHeight="true" outlineLevel="0" collapsed="false"/>
    <row r="31" customFormat="false" ht="17.15" hidden="false" customHeight="true" outlineLevel="0" collapsed="false"/>
    <row r="32" customFormat="false" ht="17.15" hidden="false" customHeight="true" outlineLevel="0" collapsed="false"/>
    <row r="33" customFormat="false" ht="17.15" hidden="false" customHeight="true" outlineLevel="0" collapsed="false"/>
    <row r="34" customFormat="false" ht="17.15" hidden="false" customHeight="true" outlineLevel="0" collapsed="false"/>
    <row r="35" customFormat="false" ht="17.15" hidden="false" customHeight="true" outlineLevel="0" collapsed="false"/>
    <row r="36" customFormat="false" ht="17.15" hidden="false" customHeight="true" outlineLevel="0" collapsed="false"/>
    <row r="37" customFormat="false" ht="17.15" hidden="false" customHeight="true" outlineLevel="0" collapsed="false"/>
    <row r="38" customFormat="false" ht="17.15" hidden="false" customHeight="true" outlineLevel="0" collapsed="false"/>
    <row r="39" customFormat="false" ht="17.15" hidden="false" customHeight="true" outlineLevel="0" collapsed="false"/>
    <row r="40" customFormat="false" ht="17.15" hidden="false" customHeight="true" outlineLevel="0" collapsed="false"/>
    <row r="41" customFormat="false" ht="17.15" hidden="false" customHeight="true" outlineLevel="0" collapsed="false"/>
    <row r="42" customFormat="false" ht="17.15" hidden="false" customHeight="true" outlineLevel="0" collapsed="false"/>
    <row r="43" customFormat="false" ht="17.15" hidden="false" customHeight="true" outlineLevel="0" collapsed="false"/>
    <row r="44" customFormat="false" ht="17.15" hidden="false" customHeight="true" outlineLevel="0" collapsed="false"/>
    <row r="45" customFormat="false" ht="17.15" hidden="false" customHeight="true" outlineLevel="0" collapsed="false"/>
  </sheetData>
  <sheetProtection sheet="true" password="d3f5" objects="true" scenarios="true" selectLockedCells="true"/>
  <mergeCells count="6">
    <mergeCell ref="G2:N3"/>
    <mergeCell ref="H4:L4"/>
    <mergeCell ref="H5:K5"/>
    <mergeCell ref="O5:Q5"/>
    <mergeCell ref="H6:K6"/>
    <mergeCell ref="K8:M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O26"/>
  <sheetViews>
    <sheetView showFormulas="false" showGridLines="false" showRowColHeaders="false" showZeros="true" rightToLeft="false" tabSelected="false" showOutlineSymbols="false" defaultGridColor="true" view="normal" topLeftCell="A1" colorId="64" zoomScale="68" zoomScaleNormal="68" zoomScalePageLayoutView="100" workbookViewId="0">
      <selection pane="topLeft" activeCell="E25" activeCellId="0" sqref="E25"/>
    </sheetView>
  </sheetViews>
  <sheetFormatPr defaultColWidth="14.55078125" defaultRowHeight="12.8" zeroHeight="false" outlineLevelRow="0" outlineLevelCol="0"/>
  <cols>
    <col collapsed="false" customWidth="true" hidden="false" outlineLevel="0" max="4" min="4" style="4" width="20.25"/>
    <col collapsed="false" customWidth="true" hidden="false" outlineLevel="0" max="5" min="5" style="4" width="15.39"/>
    <col collapsed="false" customWidth="true" hidden="false" outlineLevel="0" max="7" min="7" style="4" width="15.93"/>
    <col collapsed="false" customWidth="true" hidden="false" outlineLevel="0" max="11" min="11" style="4" width="15.93"/>
  </cols>
  <sheetData>
    <row r="1" customFormat="false" ht="12.8" hidden="false" customHeight="false" outlineLevel="0" collapsed="false">
      <c r="B1" s="120"/>
      <c r="C1" s="120"/>
      <c r="D1" s="120"/>
      <c r="E1" s="120"/>
      <c r="F1" s="120"/>
      <c r="G1" s="120"/>
      <c r="H1" s="120"/>
      <c r="I1" s="120"/>
    </row>
    <row r="2" customFormat="false" ht="12.8" hidden="false" customHeight="false" outlineLevel="0" collapsed="false">
      <c r="B2" s="120"/>
      <c r="C2" s="120"/>
      <c r="D2" s="120"/>
      <c r="E2" s="120"/>
      <c r="F2" s="120"/>
      <c r="G2" s="120"/>
      <c r="H2" s="120"/>
      <c r="I2" s="120"/>
    </row>
    <row r="3" customFormat="false" ht="12.8" hidden="false" customHeight="false" outlineLevel="0" collapsed="false">
      <c r="B3" s="120"/>
      <c r="C3" s="120"/>
      <c r="D3" s="121" t="s">
        <v>105</v>
      </c>
      <c r="E3" s="121"/>
      <c r="F3" s="121"/>
      <c r="G3" s="121"/>
      <c r="H3" s="121"/>
      <c r="I3" s="121"/>
      <c r="J3" s="121"/>
      <c r="K3" s="121"/>
      <c r="L3" s="120"/>
      <c r="M3" s="120"/>
      <c r="N3" s="120"/>
      <c r="O3" s="120"/>
    </row>
    <row r="4" customFormat="false" ht="12.8" hidden="false" customHeight="false" outlineLevel="0" collapsed="false">
      <c r="B4" s="120"/>
      <c r="C4" s="120"/>
      <c r="D4" s="121"/>
      <c r="E4" s="121"/>
      <c r="F4" s="121"/>
      <c r="G4" s="121"/>
      <c r="H4" s="121"/>
      <c r="I4" s="121"/>
      <c r="J4" s="121"/>
      <c r="K4" s="121"/>
      <c r="L4" s="120"/>
    </row>
    <row r="5" customFormat="false" ht="12.8" hidden="false" customHeight="false" outlineLevel="0" collapsed="false">
      <c r="A5" s="122"/>
      <c r="B5" s="123"/>
      <c r="C5" s="123"/>
      <c r="D5" s="123"/>
      <c r="E5" s="123"/>
      <c r="F5" s="123"/>
      <c r="G5" s="123"/>
      <c r="H5" s="123"/>
      <c r="I5" s="123"/>
      <c r="L5" s="123"/>
    </row>
    <row r="6" customFormat="false" ht="12.8" hidden="false" customHeight="false" outlineLevel="0" collapsed="false">
      <c r="A6" s="122"/>
      <c r="B6" s="123"/>
      <c r="C6" s="123"/>
      <c r="D6" s="123"/>
      <c r="E6" s="123"/>
      <c r="F6" s="123"/>
      <c r="G6" s="123"/>
      <c r="H6" s="123"/>
      <c r="I6" s="123"/>
    </row>
    <row r="7" customFormat="false" ht="17.35" hidden="false" customHeight="false" outlineLevel="0" collapsed="false">
      <c r="A7" s="122"/>
      <c r="B7" s="124" t="s">
        <v>106</v>
      </c>
      <c r="C7" s="124" t="s">
        <v>107</v>
      </c>
      <c r="D7" s="124" t="s">
        <v>108</v>
      </c>
      <c r="E7" s="124" t="s">
        <v>21</v>
      </c>
      <c r="F7" s="124" t="s">
        <v>109</v>
      </c>
      <c r="G7" s="124" t="s">
        <v>110</v>
      </c>
      <c r="H7" s="125" t="s">
        <v>111</v>
      </c>
      <c r="I7" s="123"/>
    </row>
    <row r="8" customFormat="false" ht="9.95" hidden="false" customHeight="true" outlineLevel="0" collapsed="false">
      <c r="A8" s="122"/>
      <c r="B8" s="126"/>
      <c r="C8" s="126"/>
      <c r="D8" s="126"/>
      <c r="E8" s="126"/>
      <c r="F8" s="126"/>
      <c r="G8" s="126"/>
      <c r="H8" s="126"/>
      <c r="I8" s="123"/>
    </row>
    <row r="9" customFormat="false" ht="17.35" hidden="false" customHeight="false" outlineLevel="0" collapsed="false">
      <c r="A9" s="122"/>
      <c r="B9" s="127" t="n">
        <f aca="false">'Mash pH'!M14</f>
        <v>8.9</v>
      </c>
      <c r="C9" s="128" t="n">
        <f aca="false">'Mash pH'!D4</f>
        <v>0</v>
      </c>
      <c r="D9" s="129" t="n">
        <f aca="false">'Mash pH'!E16-'Mash pH'!E17</f>
        <v>12</v>
      </c>
      <c r="E9" s="130" t="n">
        <f aca="false">'Mash pH'!K16</f>
        <v>29.7887146794832</v>
      </c>
      <c r="F9" s="131" t="n">
        <f aca="false">'Mash pH'!F4</f>
        <v>50.221797752809</v>
      </c>
      <c r="G9" s="131" t="n">
        <f aca="false">'Mash pH'!H4</f>
        <v>4.39046629213483</v>
      </c>
      <c r="H9" s="132" t="n">
        <f aca="false">H17</f>
        <v>-0.0797529592975087</v>
      </c>
      <c r="I9" s="123"/>
    </row>
    <row r="10" customFormat="false" ht="17.35" hidden="false" customHeight="false" outlineLevel="0" collapsed="false">
      <c r="A10" s="122"/>
      <c r="B10" s="133"/>
      <c r="C10" s="133"/>
      <c r="D10" s="133"/>
      <c r="E10" s="133"/>
      <c r="F10" s="133"/>
      <c r="G10" s="133"/>
      <c r="H10" s="134"/>
      <c r="I10" s="135"/>
    </row>
    <row r="11" customFormat="false" ht="17.35" hidden="false" customHeight="false" outlineLevel="0" collapsed="false">
      <c r="A11" s="122"/>
      <c r="B11" s="133"/>
      <c r="C11" s="133"/>
      <c r="D11" s="133"/>
      <c r="E11" s="133" t="s">
        <v>112</v>
      </c>
      <c r="F11" s="133" t="s">
        <v>112</v>
      </c>
      <c r="G11" s="133" t="s">
        <v>112</v>
      </c>
      <c r="H11" s="133" t="s">
        <v>113</v>
      </c>
      <c r="I11" s="123"/>
      <c r="L11" s="133"/>
    </row>
    <row r="12" customFormat="false" ht="17.35" hidden="false" customHeight="false" outlineLevel="0" collapsed="false">
      <c r="A12" s="122"/>
      <c r="B12" s="133"/>
      <c r="C12" s="133"/>
      <c r="D12" s="133"/>
      <c r="E12" s="133" t="s">
        <v>114</v>
      </c>
      <c r="F12" s="133" t="s">
        <v>115</v>
      </c>
      <c r="G12" s="133" t="s">
        <v>115</v>
      </c>
      <c r="H12" s="133" t="s">
        <v>111</v>
      </c>
      <c r="I12" s="123"/>
      <c r="L12" s="133"/>
    </row>
    <row r="13" customFormat="false" ht="17.35" hidden="false" customHeight="false" outlineLevel="0" collapsed="false">
      <c r="A13" s="122"/>
      <c r="B13" s="133"/>
      <c r="C13" s="133"/>
      <c r="D13" s="136"/>
      <c r="E13" s="137" t="n">
        <f aca="false">'Mash pH'!E20</f>
        <v>0.5</v>
      </c>
      <c r="F13" s="138" t="n">
        <f aca="false">F9/20.039</f>
        <v>2.50620279219567</v>
      </c>
      <c r="G13" s="138" t="n">
        <f aca="false">G9/12.1525</f>
        <v>0.3612809127451</v>
      </c>
      <c r="H13" s="139" t="n">
        <f aca="false">(((F17*B17)/3.5+(G17*B17)/7)/(E17*D17))</f>
        <v>-0.159505918595017</v>
      </c>
      <c r="I13" s="123"/>
      <c r="L13" s="133"/>
    </row>
    <row r="14" customFormat="false" ht="17.35" hidden="false" customHeight="false" outlineLevel="0" collapsed="false">
      <c r="A14" s="122"/>
      <c r="B14" s="133"/>
      <c r="C14" s="133"/>
      <c r="D14" s="122"/>
      <c r="E14" s="122"/>
      <c r="F14" s="133"/>
      <c r="G14" s="133"/>
      <c r="H14" s="122"/>
      <c r="I14" s="123"/>
      <c r="L14" s="133"/>
    </row>
    <row r="15" customFormat="false" ht="17.35" hidden="false" customHeight="false" outlineLevel="0" collapsed="false">
      <c r="A15" s="122"/>
      <c r="B15" s="133"/>
      <c r="C15" s="133"/>
      <c r="D15" s="122"/>
      <c r="E15" s="133" t="s">
        <v>116</v>
      </c>
      <c r="F15" s="133" t="s">
        <v>116</v>
      </c>
      <c r="G15" s="133" t="s">
        <v>116</v>
      </c>
      <c r="H15" s="133" t="s">
        <v>117</v>
      </c>
      <c r="I15" s="123"/>
      <c r="L15" s="133"/>
    </row>
    <row r="16" customFormat="false" ht="17.35" hidden="false" customHeight="false" outlineLevel="0" collapsed="false">
      <c r="A16" s="122"/>
      <c r="B16" s="133" t="s">
        <v>118</v>
      </c>
      <c r="C16" s="133" t="s">
        <v>115</v>
      </c>
      <c r="D16" s="133" t="s">
        <v>119</v>
      </c>
      <c r="E16" s="133" t="s">
        <v>120</v>
      </c>
      <c r="F16" s="133" t="s">
        <v>115</v>
      </c>
      <c r="G16" s="133" t="s">
        <v>115</v>
      </c>
      <c r="H16" s="133" t="s">
        <v>121</v>
      </c>
      <c r="I16" s="123"/>
      <c r="L16" s="133"/>
    </row>
    <row r="17" customFormat="false" ht="17.35" hidden="false" customHeight="false" outlineLevel="0" collapsed="false">
      <c r="A17" s="122"/>
      <c r="B17" s="133" t="n">
        <f aca="false">B9*3.7854</f>
        <v>33.69006</v>
      </c>
      <c r="C17" s="140" t="n">
        <f aca="false">C9/50.04345</f>
        <v>0</v>
      </c>
      <c r="D17" s="141" t="n">
        <f aca="false">D9/2.20462</f>
        <v>5.44311491322768</v>
      </c>
      <c r="E17" s="139" t="n">
        <f aca="false">E9</f>
        <v>29.7887146794832</v>
      </c>
      <c r="F17" s="142" t="n">
        <f aca="false">-F13</f>
        <v>-2.50620279219567</v>
      </c>
      <c r="G17" s="142" t="n">
        <f aca="false">-G13</f>
        <v>-0.3612809127451</v>
      </c>
      <c r="H17" s="143" t="n">
        <f aca="false">((C17*B17)+(F17*B17)/E20+(G17*B17)/F20)/(E9*D17)</f>
        <v>-0.0797529592975087</v>
      </c>
      <c r="I17" s="123"/>
      <c r="L17" s="133"/>
    </row>
    <row r="18" customFormat="false" ht="21" hidden="false" customHeight="true" outlineLevel="0" collapsed="false"/>
    <row r="19" customFormat="false" ht="21" hidden="false" customHeight="true" outlineLevel="0" collapsed="false">
      <c r="E19" s="144" t="s">
        <v>122</v>
      </c>
      <c r="F19" s="144" t="s">
        <v>123</v>
      </c>
      <c r="G19" s="145" t="s">
        <v>124</v>
      </c>
    </row>
    <row r="20" customFormat="false" ht="21" hidden="false" customHeight="true" outlineLevel="0" collapsed="false">
      <c r="E20" s="146" t="n">
        <f aca="false">3.5/'Mash pH'!E21</f>
        <v>7</v>
      </c>
      <c r="F20" s="146" t="n">
        <f aca="false">7/'Mash pH'!E21</f>
        <v>14</v>
      </c>
      <c r="G20" s="145" t="s">
        <v>125</v>
      </c>
    </row>
    <row r="21" customFormat="false" ht="21" hidden="false" customHeight="true" outlineLevel="0" collapsed="false">
      <c r="G21" s="147" t="n">
        <f aca="false">F13+G13</f>
        <v>2.86748370494077</v>
      </c>
    </row>
    <row r="22" customFormat="false" ht="21" hidden="false" customHeight="true" outlineLevel="0" collapsed="false"/>
    <row r="23" customFormat="false" ht="21" hidden="false" customHeight="true" outlineLevel="0" collapsed="false"/>
    <row r="24" customFormat="false" ht="21" hidden="false" customHeight="true" outlineLevel="0" collapsed="false">
      <c r="D24" s="148"/>
      <c r="E24" s="148"/>
      <c r="F24" s="148"/>
    </row>
    <row r="25" customFormat="false" ht="21" hidden="false" customHeight="true" outlineLevel="0" collapsed="false">
      <c r="B25" s="133"/>
      <c r="C25" s="140"/>
      <c r="D25" s="141"/>
      <c r="E25" s="139"/>
      <c r="F25" s="142"/>
      <c r="G25" s="142"/>
      <c r="H25" s="143"/>
    </row>
    <row r="26" customFormat="false" ht="21" hidden="false" customHeight="true" outlineLevel="0" collapsed="false">
      <c r="E26" s="147"/>
    </row>
  </sheetData>
  <sheetProtection sheet="true" password="d3f5" objects="true" scenarios="true"/>
  <mergeCells count="2">
    <mergeCell ref="D3:K4"/>
    <mergeCell ref="D24:F2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6:AA45"/>
  <sheetViews>
    <sheetView showFormulas="false" showGridLines="false" showRowColHeaders="false" showZeros="true" rightToLeft="false" tabSelected="false" showOutlineSymbols="false" defaultGridColor="true" view="normal" topLeftCell="A1" colorId="64" zoomScale="100" zoomScaleNormal="100" zoomScalePageLayoutView="100" workbookViewId="0">
      <selection pane="topLeft" activeCell="D16" activeCellId="0" sqref="D16"/>
    </sheetView>
  </sheetViews>
  <sheetFormatPr defaultColWidth="11.53515625" defaultRowHeight="15" zeroHeight="false" outlineLevelRow="0" outlineLevelCol="0"/>
  <cols>
    <col collapsed="false" customWidth="true" hidden="false" outlineLevel="0" max="1" min="1" style="4" width="3.18"/>
    <col collapsed="false" customWidth="true" hidden="false" outlineLevel="0" max="2" min="2" style="453" width="8.34"/>
    <col collapsed="false" customWidth="true" hidden="false" outlineLevel="0" max="3" min="3" style="453" width="7.31"/>
    <col collapsed="false" customWidth="true" hidden="false" outlineLevel="0" max="4" min="4" style="453" width="11.84"/>
    <col collapsed="false" customWidth="true" hidden="false" outlineLevel="0" max="5" min="5" style="454" width="26.18"/>
    <col collapsed="false" customWidth="true" hidden="false" outlineLevel="0" max="6" min="6" style="453" width="10.25"/>
    <col collapsed="false" customWidth="true" hidden="false" outlineLevel="0" max="7" min="7" style="453" width="14.77"/>
    <col collapsed="false" customWidth="true" hidden="false" outlineLevel="0" max="11" min="8" style="453" width="12.13"/>
    <col collapsed="false" customWidth="true" hidden="true" outlineLevel="0" max="12" min="12" style="453" width="13.3"/>
    <col collapsed="false" customWidth="true" hidden="false" outlineLevel="0" max="13" min="13" style="453" width="11.11"/>
    <col collapsed="false" customWidth="true" hidden="true" outlineLevel="0" max="14" min="14" style="453" width="10.53"/>
    <col collapsed="false" customWidth="true" hidden="true" outlineLevel="0" max="15" min="15" style="453" width="11.26"/>
    <col collapsed="false" customWidth="true" hidden="true" outlineLevel="0" max="17" min="16" style="453" width="12.13"/>
    <col collapsed="false" customWidth="true" hidden="false" outlineLevel="0" max="18" min="18" style="453" width="12.13"/>
    <col collapsed="false" customWidth="true" hidden="false" outlineLevel="0" max="19" min="19" style="453" width="14.76"/>
    <col collapsed="false" customWidth="true" hidden="false" outlineLevel="0" max="20" min="20" style="453" width="15.08"/>
    <col collapsed="false" customWidth="false" hidden="false" outlineLevel="0" max="1024" min="21" style="453" width="11.52"/>
  </cols>
  <sheetData>
    <row r="6" customFormat="false" ht="15" hidden="false" customHeight="false" outlineLevel="0" collapsed="false">
      <c r="F6" s="455" t="s">
        <v>458</v>
      </c>
      <c r="G6" s="455"/>
      <c r="H6" s="455"/>
      <c r="I6" s="455"/>
      <c r="J6" s="455"/>
      <c r="K6" s="455"/>
      <c r="L6" s="455"/>
      <c r="M6" s="455"/>
      <c r="N6" s="455"/>
      <c r="O6" s="455"/>
      <c r="P6" s="455"/>
      <c r="Q6" s="455"/>
      <c r="R6" s="455"/>
    </row>
    <row r="7" customFormat="false" ht="15" hidden="false" customHeight="false" outlineLevel="0" collapsed="false"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</row>
    <row r="8" customFormat="false" ht="15" hidden="false" customHeight="false" outlineLevel="0" collapsed="false">
      <c r="D8" s="456" t="s">
        <v>459</v>
      </c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  <c r="S8" s="456"/>
      <c r="T8" s="4"/>
      <c r="U8" s="4"/>
      <c r="V8" s="4"/>
      <c r="W8" s="4"/>
      <c r="X8" s="4"/>
      <c r="Y8" s="4"/>
      <c r="Z8" s="4"/>
      <c r="AA8" s="4"/>
    </row>
    <row r="9" customFormat="false" ht="15" hidden="false" customHeight="false" outlineLevel="0" collapsed="false">
      <c r="D9" s="456"/>
      <c r="E9" s="456"/>
      <c r="F9" s="456"/>
      <c r="G9" s="456"/>
      <c r="H9" s="456"/>
      <c r="I9" s="456"/>
      <c r="J9" s="456"/>
      <c r="K9" s="456"/>
      <c r="L9" s="456"/>
      <c r="M9" s="456"/>
      <c r="N9" s="456"/>
      <c r="O9" s="456"/>
      <c r="P9" s="456"/>
      <c r="Q9" s="456"/>
      <c r="R9" s="456"/>
      <c r="S9" s="456"/>
      <c r="T9" s="4"/>
      <c r="U9" s="4"/>
      <c r="V9" s="4"/>
      <c r="W9" s="4"/>
      <c r="X9" s="4"/>
      <c r="Y9" s="4"/>
      <c r="Z9" s="4"/>
      <c r="AA9" s="4"/>
    </row>
    <row r="10" customFormat="false" ht="15" hidden="false" customHeight="false" outlineLevel="0" collapsed="false">
      <c r="D10" s="456"/>
      <c r="E10" s="456"/>
      <c r="F10" s="456"/>
      <c r="G10" s="456"/>
      <c r="H10" s="456"/>
      <c r="I10" s="456"/>
      <c r="J10" s="456"/>
      <c r="K10" s="456"/>
      <c r="L10" s="456"/>
      <c r="M10" s="456"/>
      <c r="N10" s="456"/>
      <c r="O10" s="456"/>
      <c r="P10" s="456"/>
      <c r="Q10" s="456"/>
      <c r="R10" s="456"/>
      <c r="S10" s="456"/>
      <c r="T10" s="4"/>
      <c r="U10" s="4"/>
      <c r="V10" s="4"/>
      <c r="W10" s="4"/>
      <c r="X10" s="4"/>
      <c r="Y10" s="4"/>
      <c r="Z10" s="4"/>
      <c r="AA10" s="4"/>
    </row>
    <row r="11" customFormat="false" ht="15" hidden="false" customHeight="false" outlineLevel="0" collapsed="false">
      <c r="M11" s="4"/>
    </row>
    <row r="12" customFormat="false" ht="15" hidden="false" customHeight="false" outlineLevel="0" collapsed="false">
      <c r="B12" s="453" t="s">
        <v>460</v>
      </c>
      <c r="D12" s="4"/>
      <c r="G12" s="453" t="s">
        <v>461</v>
      </c>
      <c r="H12" s="453" t="s">
        <v>157</v>
      </c>
      <c r="I12" s="453" t="s">
        <v>462</v>
      </c>
      <c r="J12" s="453" t="s">
        <v>190</v>
      </c>
      <c r="K12" s="453" t="s">
        <v>190</v>
      </c>
      <c r="L12" s="453" t="s">
        <v>463</v>
      </c>
      <c r="M12" s="453" t="s">
        <v>464</v>
      </c>
      <c r="N12" s="453" t="s">
        <v>465</v>
      </c>
      <c r="O12" s="453" t="s">
        <v>264</v>
      </c>
      <c r="S12" s="453" t="s">
        <v>466</v>
      </c>
      <c r="T12" s="457" t="s">
        <v>195</v>
      </c>
    </row>
    <row r="13" customFormat="false" ht="15.1" hidden="false" customHeight="true" outlineLevel="0" collapsed="false">
      <c r="B13" s="453" t="s">
        <v>146</v>
      </c>
      <c r="D13" s="453" t="s">
        <v>187</v>
      </c>
      <c r="E13" s="453" t="s">
        <v>467</v>
      </c>
      <c r="F13" s="453" t="s">
        <v>468</v>
      </c>
      <c r="G13" s="453" t="s">
        <v>469</v>
      </c>
      <c r="H13" s="453" t="s">
        <v>194</v>
      </c>
      <c r="I13" s="453" t="s">
        <v>107</v>
      </c>
      <c r="J13" s="453" t="s">
        <v>462</v>
      </c>
      <c r="K13" s="453" t="s">
        <v>462</v>
      </c>
      <c r="L13" s="453" t="s">
        <v>470</v>
      </c>
      <c r="M13" s="453" t="s">
        <v>471</v>
      </c>
      <c r="N13" s="453" t="s">
        <v>472</v>
      </c>
      <c r="O13" s="453" t="s">
        <v>468</v>
      </c>
      <c r="P13" s="453" t="s">
        <v>194</v>
      </c>
      <c r="Q13" s="453" t="s">
        <v>113</v>
      </c>
      <c r="R13" s="453" t="s">
        <v>117</v>
      </c>
      <c r="S13" s="453" t="s">
        <v>473</v>
      </c>
      <c r="T13" s="453" t="s">
        <v>474</v>
      </c>
    </row>
    <row r="14" customFormat="false" ht="15.1" hidden="false" customHeight="true" outlineLevel="0" collapsed="false">
      <c r="B14" s="453" t="s">
        <v>154</v>
      </c>
      <c r="C14" s="453" t="s">
        <v>475</v>
      </c>
      <c r="D14" s="453" t="s">
        <v>476</v>
      </c>
      <c r="E14" s="453" t="s">
        <v>477</v>
      </c>
      <c r="F14" s="458" t="s">
        <v>478</v>
      </c>
      <c r="G14" s="453" t="s">
        <v>479</v>
      </c>
      <c r="H14" s="453" t="s">
        <v>480</v>
      </c>
      <c r="I14" s="453" t="s">
        <v>481</v>
      </c>
      <c r="J14" s="453" t="s">
        <v>482</v>
      </c>
      <c r="K14" s="453" t="s">
        <v>483</v>
      </c>
      <c r="L14" s="453" t="s">
        <v>154</v>
      </c>
      <c r="M14" s="453" t="s">
        <v>476</v>
      </c>
      <c r="N14" s="453" t="s">
        <v>23</v>
      </c>
      <c r="O14" s="453" t="s">
        <v>23</v>
      </c>
      <c r="P14" s="453" t="s">
        <v>23</v>
      </c>
      <c r="Q14" s="453" t="s">
        <v>23</v>
      </c>
      <c r="R14" s="453" t="s">
        <v>23</v>
      </c>
      <c r="S14" s="453" t="s">
        <v>195</v>
      </c>
      <c r="T14" s="453" t="s">
        <v>484</v>
      </c>
    </row>
    <row r="15" customFormat="false" ht="15" hidden="false" customHeight="false" outlineLevel="0" collapsed="false">
      <c r="E15" s="453" t="s">
        <v>201</v>
      </c>
      <c r="G15" s="453" t="s">
        <v>485</v>
      </c>
      <c r="S15" s="453" t="s">
        <v>201</v>
      </c>
      <c r="T15" s="453" t="s">
        <v>486</v>
      </c>
    </row>
    <row r="16" customFormat="false" ht="15" hidden="false" customHeight="false" outlineLevel="0" collapsed="false">
      <c r="B16" s="459" t="n">
        <v>14</v>
      </c>
      <c r="C16" s="460" t="n">
        <v>1.054</v>
      </c>
      <c r="D16" s="461" t="n">
        <v>5.4</v>
      </c>
      <c r="E16" s="462" t="s">
        <v>487</v>
      </c>
      <c r="F16" s="461" t="n">
        <v>13</v>
      </c>
      <c r="G16" s="463" t="n">
        <v>0.1</v>
      </c>
      <c r="H16" s="461" t="n">
        <v>8.9</v>
      </c>
      <c r="I16" s="464" t="n">
        <v>0</v>
      </c>
      <c r="J16" s="464" t="n">
        <v>50</v>
      </c>
      <c r="K16" s="464" t="n">
        <v>4</v>
      </c>
      <c r="L16" s="465" t="n">
        <f aca="false">B16 * (-7.5*C16 + 8.875)</f>
        <v>13.58</v>
      </c>
      <c r="M16" s="466" t="n">
        <f aca="false">G16+(0.001*L16+1)*E25-0.035*L16+0.0003*L16^2</f>
        <v>5.55878892</v>
      </c>
      <c r="N16" s="466" t="n">
        <f aca="false">(M16 - D16)*34*F16/2.20462</f>
        <v>31.8352834683527</v>
      </c>
      <c r="O16" s="466" t="n">
        <f aca="false">N16/(-2*C16 + 3.1)</f>
        <v>32.0920196253555</v>
      </c>
      <c r="P16" s="466" t="n">
        <f aca="false">(H16*3.7854)*(I16)/50</f>
        <v>0</v>
      </c>
      <c r="Q16" s="466" t="n">
        <f aca="false">(H16*3.7854)*((J16/20/3.5) +(K16/12.15/7))</f>
        <v>25.6488111111111</v>
      </c>
      <c r="R16" s="467" t="n">
        <f aca="false">O16+P16-Q16</f>
        <v>6.4432085142444</v>
      </c>
      <c r="S16" s="468" t="s">
        <v>488</v>
      </c>
      <c r="T16" s="469" t="str">
        <f aca="false">IF(AND(R16&gt;=0,S16&lt;&gt;"Citric Acid"),ROUND(R16/S27,2)&amp;" ml",ROUND(-R16/S27,2)&amp;" grams")</f>
        <v>0.56 ml</v>
      </c>
    </row>
    <row r="17" customFormat="false" ht="15" hidden="false" customHeight="false" outlineLevel="0" collapsed="false">
      <c r="B17" s="275"/>
      <c r="C17" s="470"/>
      <c r="D17" s="275"/>
      <c r="E17" s="471"/>
      <c r="F17" s="275"/>
      <c r="G17" s="275"/>
      <c r="H17" s="275"/>
      <c r="I17" s="275"/>
      <c r="J17" s="275"/>
      <c r="K17" s="275"/>
      <c r="L17" s="472"/>
      <c r="M17" s="472"/>
      <c r="N17" s="473"/>
      <c r="O17" s="473"/>
      <c r="P17" s="473"/>
      <c r="Q17" s="473"/>
      <c r="R17" s="474"/>
      <c r="S17" s="474"/>
      <c r="T17" s="469" t="str">
        <f aca="false">IF(R16&lt;0,"Baking Soda",S16)</f>
        <v>88% Lactic</v>
      </c>
    </row>
    <row r="18" customFormat="false" ht="15" hidden="false" customHeight="false" outlineLevel="0" collapsed="false">
      <c r="B18" s="275"/>
      <c r="C18" s="470"/>
      <c r="D18" s="275"/>
      <c r="E18" s="475" t="s">
        <v>489</v>
      </c>
      <c r="F18" s="275"/>
      <c r="G18" s="275"/>
      <c r="H18" s="275"/>
      <c r="I18" s="275"/>
      <c r="J18" s="275"/>
      <c r="K18" s="275"/>
      <c r="L18" s="472"/>
      <c r="M18" s="476"/>
      <c r="N18" s="476"/>
      <c r="O18" s="476"/>
      <c r="P18" s="476"/>
      <c r="Q18" s="476"/>
      <c r="R18" s="477"/>
      <c r="S18" s="478" t="s">
        <v>488</v>
      </c>
      <c r="T18" s="479" t="n">
        <v>11.45152</v>
      </c>
      <c r="U18" s="480"/>
      <c r="V18" s="480"/>
    </row>
    <row r="19" customFormat="false" ht="15" hidden="false" customHeight="false" outlineLevel="0" collapsed="false">
      <c r="B19" s="275"/>
      <c r="C19" s="470"/>
      <c r="D19" s="275"/>
      <c r="E19" s="481" t="s">
        <v>490</v>
      </c>
      <c r="F19" s="275"/>
      <c r="G19" s="275"/>
      <c r="H19" s="275"/>
      <c r="I19" s="275"/>
      <c r="J19" s="275"/>
      <c r="K19" s="275"/>
      <c r="L19" s="472"/>
      <c r="M19" s="476"/>
      <c r="N19" s="476"/>
      <c r="O19" s="476"/>
      <c r="P19" s="476"/>
      <c r="Q19" s="476"/>
      <c r="R19" s="477"/>
      <c r="S19" s="477" t="s">
        <v>214</v>
      </c>
      <c r="T19" s="482" t="n">
        <v>10.2464634998803</v>
      </c>
      <c r="U19" s="480"/>
      <c r="V19" s="480"/>
    </row>
    <row r="20" customFormat="false" ht="15" hidden="false" customHeight="false" outlineLevel="0" collapsed="false">
      <c r="B20" s="275"/>
      <c r="C20" s="470"/>
      <c r="D20" s="275"/>
      <c r="E20" s="483" t="s">
        <v>491</v>
      </c>
      <c r="F20" s="275"/>
      <c r="G20" s="484" t="s">
        <v>75</v>
      </c>
      <c r="H20" s="275"/>
      <c r="I20" s="472"/>
      <c r="J20" s="472"/>
      <c r="K20" s="4"/>
      <c r="L20" s="4"/>
      <c r="M20" s="5"/>
      <c r="N20" s="476"/>
      <c r="O20" s="476"/>
      <c r="P20" s="476"/>
      <c r="Q20" s="476"/>
      <c r="R20" s="477"/>
      <c r="S20" s="477" t="s">
        <v>492</v>
      </c>
      <c r="T20" s="482" t="n">
        <v>14.8652580979225</v>
      </c>
      <c r="U20" s="480"/>
      <c r="V20" s="480"/>
    </row>
    <row r="21" customFormat="false" ht="15" hidden="false" customHeight="false" outlineLevel="0" collapsed="false">
      <c r="B21" s="275"/>
      <c r="C21" s="470"/>
      <c r="D21" s="275"/>
      <c r="E21" s="481" t="s">
        <v>493</v>
      </c>
      <c r="F21" s="275"/>
      <c r="G21" s="485"/>
      <c r="H21" s="486" t="s">
        <v>494</v>
      </c>
      <c r="I21" s="486"/>
      <c r="J21" s="486"/>
      <c r="K21" s="4"/>
      <c r="L21" s="4"/>
      <c r="M21" s="5"/>
      <c r="N21" s="476"/>
      <c r="O21" s="476"/>
      <c r="P21" s="476"/>
      <c r="Q21" s="476"/>
      <c r="R21" s="477"/>
      <c r="S21" s="477" t="s">
        <v>495</v>
      </c>
      <c r="T21" s="482" t="n">
        <v>12.262168287859</v>
      </c>
      <c r="U21" s="480"/>
      <c r="V21" s="480"/>
    </row>
    <row r="22" customFormat="false" ht="15" hidden="false" customHeight="false" outlineLevel="0" collapsed="false">
      <c r="B22" s="275"/>
      <c r="C22" s="470"/>
      <c r="D22" s="275"/>
      <c r="E22" s="487" t="s">
        <v>487</v>
      </c>
      <c r="F22" s="275"/>
      <c r="G22" s="488"/>
      <c r="H22" s="486" t="s">
        <v>496</v>
      </c>
      <c r="I22" s="486"/>
      <c r="J22" s="486"/>
      <c r="K22" s="486"/>
      <c r="L22" s="4"/>
      <c r="M22" s="5"/>
      <c r="N22" s="489"/>
      <c r="O22" s="476"/>
      <c r="P22" s="476"/>
      <c r="Q22" s="476"/>
      <c r="R22" s="477"/>
      <c r="S22" s="477" t="s">
        <v>497</v>
      </c>
      <c r="T22" s="482" t="n">
        <v>3.66700181477329</v>
      </c>
      <c r="U22" s="480"/>
      <c r="V22" s="480"/>
    </row>
    <row r="23" customFormat="false" ht="15" hidden="false" customHeight="false" outlineLevel="0" collapsed="false">
      <c r="B23" s="275"/>
      <c r="C23" s="470"/>
      <c r="D23" s="275"/>
      <c r="E23" s="475" t="s">
        <v>498</v>
      </c>
      <c r="F23" s="275"/>
      <c r="G23" s="490"/>
      <c r="H23" s="486" t="s">
        <v>499</v>
      </c>
      <c r="I23" s="486"/>
      <c r="J23" s="486"/>
      <c r="K23" s="4"/>
      <c r="L23" s="4"/>
      <c r="M23" s="5"/>
      <c r="N23" s="476"/>
      <c r="O23" s="476"/>
      <c r="P23" s="476"/>
      <c r="Q23" s="476"/>
      <c r="R23" s="477"/>
      <c r="S23" s="477" t="s">
        <v>500</v>
      </c>
      <c r="T23" s="482" t="n">
        <v>1.09031566030108</v>
      </c>
      <c r="U23" s="480"/>
      <c r="V23" s="480"/>
    </row>
    <row r="24" customFormat="false" ht="15" hidden="false" customHeight="false" outlineLevel="0" collapsed="false">
      <c r="B24" s="275"/>
      <c r="C24" s="470"/>
      <c r="D24" s="275"/>
      <c r="E24" s="475" t="s">
        <v>501</v>
      </c>
      <c r="F24" s="275"/>
      <c r="G24" s="491"/>
      <c r="H24" s="486" t="s">
        <v>502</v>
      </c>
      <c r="I24" s="486"/>
      <c r="J24" s="486"/>
      <c r="K24" s="4"/>
      <c r="L24" s="4"/>
      <c r="M24" s="5"/>
      <c r="N24" s="476"/>
      <c r="O24" s="476"/>
      <c r="P24" s="476"/>
      <c r="Q24" s="476"/>
      <c r="R24" s="477"/>
      <c r="S24" s="477" t="s">
        <v>217</v>
      </c>
      <c r="T24" s="482" t="n">
        <v>3.66</v>
      </c>
      <c r="U24" s="480"/>
      <c r="V24" s="480"/>
    </row>
    <row r="25" customFormat="false" ht="15" hidden="false" customHeight="false" outlineLevel="0" collapsed="false">
      <c r="B25" s="275"/>
      <c r="C25" s="470"/>
      <c r="D25" s="275"/>
      <c r="E25" s="492" t="n">
        <f aca="false">IF($E$16="~5L to 6L Base Malts",5.5,IF($E$16="N.A. 2-Row Brewers",5.55,IF($E$16="Generic 2-Row",5.6,IF($E$16="Pale, Vienna",5.65,IF($E$16="G. Promise, Crisp MO",5.7,IF($E$16="Muntons Maris Otter",5.75,IF($E$16="Pilsner",5.8)))))))+0.1</f>
        <v>5.8</v>
      </c>
      <c r="F25" s="275"/>
      <c r="G25" s="275"/>
      <c r="H25" s="275"/>
      <c r="I25" s="275"/>
      <c r="J25" s="275"/>
      <c r="K25" s="275"/>
      <c r="L25" s="472"/>
      <c r="M25" s="476"/>
      <c r="N25" s="476"/>
      <c r="O25" s="476"/>
      <c r="P25" s="476"/>
      <c r="Q25" s="476"/>
      <c r="R25" s="477"/>
      <c r="S25" s="477" t="s">
        <v>218</v>
      </c>
      <c r="T25" s="482" t="n">
        <v>13.6</v>
      </c>
      <c r="U25" s="480"/>
      <c r="V25" s="480"/>
    </row>
    <row r="26" customFormat="false" ht="15" hidden="false" customHeight="false" outlineLevel="0" collapsed="false">
      <c r="B26" s="275"/>
      <c r="C26" s="470"/>
      <c r="D26" s="275"/>
      <c r="E26" s="471"/>
      <c r="F26" s="275"/>
      <c r="G26" s="275"/>
      <c r="H26" s="275"/>
      <c r="I26" s="275"/>
      <c r="J26" s="275"/>
      <c r="K26" s="275"/>
      <c r="L26" s="472"/>
      <c r="M26" s="476"/>
      <c r="N26" s="476"/>
      <c r="O26" s="476"/>
      <c r="P26" s="476"/>
      <c r="Q26" s="476"/>
      <c r="R26" s="477"/>
      <c r="S26" s="477"/>
      <c r="T26" s="477"/>
      <c r="U26" s="480"/>
      <c r="V26" s="480"/>
    </row>
    <row r="27" customFormat="false" ht="15" hidden="false" customHeight="false" outlineLevel="0" collapsed="false">
      <c r="B27" s="275"/>
      <c r="C27" s="470"/>
      <c r="D27" s="275"/>
      <c r="E27" s="493"/>
      <c r="F27" s="275"/>
      <c r="G27" s="275"/>
      <c r="H27" s="275"/>
      <c r="I27" s="275"/>
      <c r="J27" s="275"/>
      <c r="K27" s="275"/>
      <c r="L27" s="472"/>
      <c r="M27" s="476"/>
      <c r="N27" s="476"/>
      <c r="O27" s="476"/>
      <c r="P27" s="476"/>
      <c r="Q27" s="476"/>
      <c r="R27" s="477"/>
      <c r="S27" s="477" t="n">
        <f aca="false">VLOOKUP(S16,S18:T25,2,0)</f>
        <v>11.45152</v>
      </c>
      <c r="T27" s="477"/>
      <c r="U27" s="480"/>
      <c r="V27" s="480"/>
    </row>
    <row r="28" customFormat="false" ht="15" hidden="false" customHeight="false" outlineLevel="0" collapsed="false">
      <c r="B28" s="275"/>
      <c r="C28" s="470"/>
      <c r="D28" s="275"/>
      <c r="E28" s="493"/>
      <c r="F28" s="275"/>
      <c r="G28" s="275"/>
      <c r="H28" s="275"/>
      <c r="I28" s="275"/>
      <c r="J28" s="275"/>
      <c r="K28" s="275"/>
      <c r="L28" s="472"/>
      <c r="M28" s="476"/>
      <c r="N28" s="476"/>
      <c r="O28" s="476"/>
      <c r="P28" s="476"/>
      <c r="Q28" s="476"/>
      <c r="R28" s="477"/>
      <c r="S28" s="477"/>
      <c r="T28" s="477"/>
      <c r="U28" s="480"/>
      <c r="V28" s="480"/>
    </row>
    <row r="29" customFormat="false" ht="15" hidden="false" customHeight="false" outlineLevel="0" collapsed="false">
      <c r="B29" s="275"/>
      <c r="C29" s="470"/>
      <c r="D29" s="275"/>
      <c r="E29" s="493"/>
      <c r="F29" s="275"/>
      <c r="G29" s="275"/>
      <c r="H29" s="275"/>
      <c r="I29" s="275"/>
      <c r="J29" s="275"/>
      <c r="K29" s="275"/>
      <c r="L29" s="472"/>
      <c r="M29" s="476"/>
      <c r="N29" s="476"/>
      <c r="O29" s="476"/>
      <c r="P29" s="476"/>
      <c r="Q29" s="476"/>
      <c r="R29" s="477"/>
      <c r="S29" s="477"/>
      <c r="T29" s="477"/>
      <c r="U29" s="480"/>
      <c r="V29" s="480"/>
    </row>
    <row r="30" customFormat="false" ht="15" hidden="false" customHeight="false" outlineLevel="0" collapsed="false">
      <c r="B30" s="275"/>
      <c r="C30" s="470"/>
      <c r="D30" s="275"/>
      <c r="E30" s="493"/>
      <c r="F30" s="275"/>
      <c r="G30" s="275"/>
      <c r="H30" s="275"/>
      <c r="I30" s="275"/>
      <c r="J30" s="275"/>
      <c r="K30" s="275"/>
      <c r="L30" s="472"/>
      <c r="M30" s="476"/>
      <c r="N30" s="476"/>
      <c r="O30" s="476"/>
      <c r="P30" s="476"/>
      <c r="Q30" s="476"/>
      <c r="R30" s="477"/>
      <c r="S30" s="477"/>
      <c r="T30" s="477"/>
      <c r="U30" s="480"/>
      <c r="V30" s="480"/>
    </row>
    <row r="31" customFormat="false" ht="15" hidden="false" customHeight="false" outlineLevel="0" collapsed="false">
      <c r="B31" s="275"/>
      <c r="C31" s="470"/>
      <c r="D31" s="275"/>
      <c r="E31" s="493"/>
      <c r="F31" s="275"/>
      <c r="G31" s="275"/>
      <c r="H31" s="275"/>
      <c r="I31" s="275"/>
      <c r="J31" s="275"/>
      <c r="K31" s="275"/>
      <c r="L31" s="472"/>
      <c r="M31" s="476"/>
      <c r="N31" s="476"/>
      <c r="O31" s="476"/>
      <c r="P31" s="476"/>
      <c r="Q31" s="476"/>
      <c r="R31" s="477"/>
      <c r="S31" s="477"/>
      <c r="T31" s="477"/>
      <c r="U31" s="480"/>
      <c r="V31" s="480"/>
    </row>
    <row r="32" customFormat="false" ht="15" hidden="false" customHeight="false" outlineLevel="0" collapsed="false">
      <c r="B32" s="275"/>
      <c r="C32" s="470"/>
      <c r="D32" s="275"/>
      <c r="E32" s="493"/>
      <c r="F32" s="275"/>
      <c r="G32" s="275"/>
      <c r="H32" s="275"/>
      <c r="I32" s="275"/>
      <c r="J32" s="275"/>
      <c r="K32" s="275"/>
      <c r="L32" s="472"/>
      <c r="M32" s="476"/>
      <c r="N32" s="476"/>
      <c r="O32" s="476"/>
      <c r="P32" s="476"/>
      <c r="Q32" s="476"/>
      <c r="R32" s="477"/>
      <c r="S32" s="477"/>
      <c r="T32" s="477"/>
      <c r="U32" s="480"/>
      <c r="V32" s="480"/>
    </row>
    <row r="33" customFormat="false" ht="15" hidden="false" customHeight="false" outlineLevel="0" collapsed="false">
      <c r="B33" s="275"/>
      <c r="C33" s="470"/>
      <c r="D33" s="275"/>
      <c r="E33" s="493"/>
      <c r="F33" s="275"/>
      <c r="G33" s="275"/>
      <c r="H33" s="275"/>
      <c r="I33" s="275"/>
      <c r="J33" s="275"/>
      <c r="K33" s="275"/>
      <c r="L33" s="472"/>
      <c r="M33" s="476"/>
      <c r="N33" s="476"/>
      <c r="O33" s="476"/>
      <c r="P33" s="476"/>
      <c r="Q33" s="476"/>
      <c r="R33" s="477"/>
      <c r="S33" s="477"/>
      <c r="T33" s="477"/>
      <c r="U33" s="480"/>
      <c r="V33" s="480"/>
    </row>
    <row r="34" customFormat="false" ht="15" hidden="false" customHeight="false" outlineLevel="0" collapsed="false">
      <c r="B34" s="275"/>
      <c r="C34" s="470"/>
      <c r="D34" s="275"/>
      <c r="E34" s="493"/>
      <c r="F34" s="275"/>
      <c r="G34" s="275"/>
      <c r="H34" s="275"/>
      <c r="I34" s="275"/>
      <c r="J34" s="275"/>
      <c r="K34" s="275"/>
      <c r="L34" s="472"/>
      <c r="M34" s="476"/>
      <c r="N34" s="476"/>
      <c r="O34" s="476"/>
      <c r="P34" s="476"/>
      <c r="Q34" s="476"/>
      <c r="R34" s="477"/>
      <c r="S34" s="477"/>
      <c r="T34" s="477"/>
      <c r="U34" s="480"/>
      <c r="V34" s="480"/>
    </row>
    <row r="35" customFormat="false" ht="15" hidden="false" customHeight="false" outlineLevel="0" collapsed="false">
      <c r="B35" s="275"/>
      <c r="C35" s="470"/>
      <c r="D35" s="275"/>
      <c r="E35" s="493"/>
      <c r="F35" s="275"/>
      <c r="G35" s="275"/>
      <c r="H35" s="275"/>
      <c r="I35" s="275"/>
      <c r="J35" s="275"/>
      <c r="K35" s="275"/>
      <c r="L35" s="472"/>
      <c r="M35" s="476"/>
      <c r="N35" s="476"/>
      <c r="O35" s="476"/>
      <c r="P35" s="476"/>
      <c r="Q35" s="476"/>
      <c r="R35" s="477"/>
      <c r="S35" s="478"/>
      <c r="T35" s="478"/>
      <c r="U35" s="480"/>
      <c r="V35" s="480"/>
    </row>
    <row r="36" customFormat="false" ht="15" hidden="false" customHeight="false" outlineLevel="0" collapsed="false">
      <c r="B36" s="494"/>
      <c r="C36" s="495"/>
      <c r="D36" s="494"/>
      <c r="E36" s="496"/>
      <c r="F36" s="494"/>
      <c r="G36" s="494"/>
      <c r="H36" s="494"/>
      <c r="I36" s="494"/>
      <c r="J36" s="494"/>
      <c r="K36" s="494"/>
      <c r="L36" s="497"/>
      <c r="M36" s="498"/>
      <c r="N36" s="498"/>
      <c r="O36" s="498"/>
      <c r="P36" s="498"/>
      <c r="Q36" s="498"/>
      <c r="R36" s="478"/>
      <c r="S36" s="478"/>
      <c r="T36" s="478"/>
      <c r="U36" s="480"/>
      <c r="V36" s="480"/>
    </row>
    <row r="37" customFormat="false" ht="15" hidden="false" customHeight="false" outlineLevel="0" collapsed="false">
      <c r="B37" s="494"/>
      <c r="C37" s="495"/>
      <c r="D37" s="494"/>
      <c r="E37" s="496"/>
      <c r="F37" s="494"/>
      <c r="G37" s="494"/>
      <c r="H37" s="494"/>
      <c r="I37" s="494"/>
      <c r="J37" s="494"/>
      <c r="K37" s="494"/>
      <c r="L37" s="497"/>
      <c r="M37" s="498"/>
      <c r="N37" s="498"/>
      <c r="O37" s="498"/>
      <c r="P37" s="498"/>
      <c r="Q37" s="498"/>
      <c r="R37" s="478"/>
      <c r="S37" s="478"/>
      <c r="T37" s="478"/>
      <c r="U37" s="480"/>
      <c r="V37" s="480"/>
    </row>
    <row r="38" customFormat="false" ht="15" hidden="false" customHeight="false" outlineLevel="0" collapsed="false">
      <c r="B38" s="494"/>
      <c r="C38" s="495"/>
      <c r="D38" s="494"/>
      <c r="E38" s="496"/>
      <c r="F38" s="494"/>
      <c r="G38" s="494"/>
      <c r="H38" s="494"/>
      <c r="I38" s="494"/>
      <c r="J38" s="494"/>
      <c r="K38" s="494"/>
      <c r="L38" s="497"/>
      <c r="M38" s="498"/>
      <c r="N38" s="498"/>
      <c r="O38" s="498"/>
      <c r="P38" s="498"/>
      <c r="Q38" s="498"/>
      <c r="R38" s="478"/>
      <c r="S38" s="478"/>
      <c r="T38" s="478"/>
      <c r="U38" s="480"/>
      <c r="V38" s="480"/>
    </row>
    <row r="39" customFormat="false" ht="15" hidden="false" customHeight="false" outlineLevel="0" collapsed="false">
      <c r="B39" s="494"/>
      <c r="C39" s="495"/>
      <c r="D39" s="494"/>
      <c r="E39" s="496"/>
      <c r="F39" s="494"/>
      <c r="G39" s="494"/>
      <c r="H39" s="494"/>
      <c r="I39" s="494"/>
      <c r="J39" s="494"/>
      <c r="K39" s="494"/>
      <c r="L39" s="497"/>
      <c r="M39" s="498"/>
      <c r="N39" s="498"/>
      <c r="O39" s="498"/>
      <c r="P39" s="498"/>
      <c r="Q39" s="498"/>
      <c r="R39" s="478"/>
      <c r="S39" s="478"/>
      <c r="T39" s="478"/>
      <c r="U39" s="480"/>
      <c r="V39" s="480"/>
    </row>
    <row r="40" customFormat="false" ht="15" hidden="false" customHeight="false" outlineLevel="0" collapsed="false">
      <c r="B40" s="494"/>
      <c r="C40" s="495"/>
      <c r="D40" s="494"/>
      <c r="E40" s="496"/>
      <c r="F40" s="494"/>
      <c r="G40" s="494"/>
      <c r="H40" s="494"/>
      <c r="I40" s="494"/>
      <c r="J40" s="494"/>
      <c r="K40" s="494"/>
      <c r="L40" s="497"/>
      <c r="M40" s="498"/>
      <c r="N40" s="498"/>
      <c r="O40" s="498"/>
      <c r="P40" s="498"/>
      <c r="Q40" s="498"/>
      <c r="R40" s="478"/>
      <c r="S40" s="478"/>
      <c r="T40" s="478"/>
      <c r="U40" s="480"/>
      <c r="V40" s="480"/>
    </row>
    <row r="41" customFormat="false" ht="15" hidden="false" customHeight="false" outlineLevel="0" collapsed="false">
      <c r="B41" s="494"/>
      <c r="C41" s="495"/>
      <c r="D41" s="494"/>
      <c r="E41" s="496"/>
      <c r="F41" s="494"/>
      <c r="G41" s="494"/>
      <c r="H41" s="494"/>
      <c r="I41" s="494"/>
      <c r="J41" s="494"/>
      <c r="K41" s="494"/>
      <c r="L41" s="497"/>
      <c r="M41" s="498"/>
      <c r="N41" s="498"/>
      <c r="O41" s="498"/>
      <c r="P41" s="498"/>
      <c r="Q41" s="498"/>
      <c r="R41" s="478"/>
      <c r="S41" s="478"/>
      <c r="T41" s="478"/>
      <c r="U41" s="480"/>
      <c r="V41" s="480"/>
    </row>
    <row r="42" customFormat="false" ht="15" hidden="false" customHeight="false" outlineLevel="0" collapsed="false">
      <c r="B42" s="494"/>
      <c r="C42" s="495"/>
      <c r="D42" s="494"/>
      <c r="E42" s="496"/>
      <c r="F42" s="494"/>
      <c r="G42" s="494"/>
      <c r="H42" s="494"/>
      <c r="I42" s="494"/>
      <c r="J42" s="494"/>
      <c r="K42" s="494"/>
      <c r="L42" s="497"/>
      <c r="M42" s="497"/>
      <c r="N42" s="499"/>
      <c r="O42" s="499"/>
      <c r="P42" s="499"/>
      <c r="Q42" s="499"/>
      <c r="R42" s="500"/>
      <c r="S42" s="500"/>
      <c r="T42" s="500"/>
    </row>
    <row r="43" customFormat="false" ht="15" hidden="false" customHeight="false" outlineLevel="0" collapsed="false">
      <c r="B43" s="494"/>
      <c r="C43" s="495"/>
      <c r="D43" s="494"/>
      <c r="E43" s="496"/>
      <c r="F43" s="494"/>
      <c r="G43" s="494"/>
      <c r="H43" s="494"/>
      <c r="I43" s="494"/>
      <c r="J43" s="494"/>
      <c r="K43" s="494"/>
      <c r="L43" s="497"/>
      <c r="M43" s="497"/>
      <c r="N43" s="499"/>
      <c r="O43" s="499"/>
      <c r="P43" s="499"/>
      <c r="Q43" s="499"/>
      <c r="R43" s="500"/>
      <c r="S43" s="500"/>
      <c r="T43" s="500"/>
    </row>
    <row r="44" customFormat="false" ht="15" hidden="false" customHeight="false" outlineLevel="0" collapsed="false">
      <c r="B44" s="494"/>
      <c r="C44" s="495"/>
      <c r="D44" s="494"/>
      <c r="E44" s="496"/>
      <c r="F44" s="494"/>
      <c r="G44" s="494"/>
      <c r="H44" s="494"/>
      <c r="I44" s="494"/>
      <c r="J44" s="494"/>
      <c r="K44" s="494"/>
      <c r="L44" s="497"/>
      <c r="M44" s="497"/>
      <c r="N44" s="499"/>
      <c r="O44" s="499"/>
      <c r="P44" s="499"/>
      <c r="Q44" s="499"/>
      <c r="R44" s="500"/>
      <c r="S44" s="500"/>
      <c r="T44" s="500"/>
    </row>
    <row r="45" customFormat="false" ht="15" hidden="false" customHeight="false" outlineLevel="0" collapsed="false">
      <c r="C45" s="495"/>
      <c r="M45" s="497"/>
    </row>
  </sheetData>
  <sheetProtection sheet="true" password="d3f5" objects="true" scenarios="true" selectLockedCells="true"/>
  <mergeCells count="6">
    <mergeCell ref="F6:R7"/>
    <mergeCell ref="D8:S10"/>
    <mergeCell ref="H21:J21"/>
    <mergeCell ref="H22:K22"/>
    <mergeCell ref="H23:J23"/>
    <mergeCell ref="H24:J24"/>
  </mergeCells>
  <dataValidations count="2">
    <dataValidation allowBlank="true" errorStyle="stop" operator="equal" showDropDown="false" showErrorMessage="true" showInputMessage="false" sqref="E16" type="list">
      <formula1>SRMME!$E$18:$E$24</formula1>
      <formula2>0</formula2>
    </dataValidation>
    <dataValidation allowBlank="true" errorStyle="stop" operator="equal" showDropDown="false" showErrorMessage="true" showInputMessage="false" sqref="S16" type="list">
      <formula1>SRMME!$S$18:$S$25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MJ24"/>
  <sheetViews>
    <sheetView showFormulas="false" showGridLines="false" showRowColHeaders="false" showZeros="true" rightToLeft="false" tabSelected="false" showOutlineSymbols="false" defaultGridColor="true" view="normal" topLeftCell="A2" colorId="64" zoomScale="75" zoomScaleNormal="75" zoomScalePageLayoutView="100" workbookViewId="0">
      <selection pane="topLeft" activeCell="E16" activeCellId="0" sqref="E16"/>
    </sheetView>
  </sheetViews>
  <sheetFormatPr defaultColWidth="25.13671875" defaultRowHeight="17.35" zeroHeight="false" outlineLevelRow="0" outlineLevelCol="0"/>
  <cols>
    <col collapsed="false" customWidth="true" hidden="false" outlineLevel="0" max="1" min="1" style="149" width="5.55"/>
    <col collapsed="false" customWidth="true" hidden="false" outlineLevel="0" max="9" min="2" style="149" width="23.88"/>
    <col collapsed="false" customWidth="true" hidden="false" outlineLevel="0" max="10" min="10" style="149" width="3.34"/>
    <col collapsed="false" customWidth="true" hidden="false" outlineLevel="0" max="12" min="11" style="149" width="23.88"/>
    <col collapsed="false" customWidth="false" hidden="false" outlineLevel="0" max="1024" min="13" style="149" width="25.11"/>
  </cols>
  <sheetData>
    <row r="1" customFormat="false" ht="14.45" hidden="false" customHeight="true" outlineLevel="0" collapsed="false">
      <c r="A1" s="4"/>
      <c r="B1" s="4"/>
      <c r="C1" s="4"/>
      <c r="D1" s="4"/>
      <c r="E1" s="4"/>
      <c r="F1" s="4"/>
      <c r="G1" s="4"/>
      <c r="H1" s="4"/>
      <c r="I1" s="4"/>
      <c r="J1" s="4"/>
      <c r="K1" s="150"/>
      <c r="L1" s="150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</row>
    <row r="2" customFormat="false" ht="21.6" hidden="false" customHeight="true" outlineLevel="0" collapsed="false">
      <c r="A2" s="4"/>
      <c r="B2" s="151" t="s">
        <v>126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</row>
    <row r="3" customFormat="false" ht="21.6" hidden="false" customHeight="true" outlineLevel="0" collapsed="false">
      <c r="A3" s="4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</row>
    <row r="4" customFormat="false" ht="23.1" hidden="false" customHeight="true" outlineLevel="0" collapsed="false">
      <c r="A4" s="4"/>
      <c r="B4" s="152" t="s">
        <v>41</v>
      </c>
      <c r="C4" s="152" t="s">
        <v>42</v>
      </c>
      <c r="D4" s="152" t="s">
        <v>40</v>
      </c>
      <c r="E4" s="152" t="s">
        <v>127</v>
      </c>
      <c r="F4" s="152" t="s">
        <v>38</v>
      </c>
      <c r="G4" s="152" t="s">
        <v>128</v>
      </c>
      <c r="H4" s="152" t="s">
        <v>129</v>
      </c>
      <c r="I4" s="152" t="s">
        <v>130</v>
      </c>
      <c r="J4" s="152"/>
      <c r="K4" s="152" t="s">
        <v>131</v>
      </c>
      <c r="L4" s="152" t="s">
        <v>132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</row>
    <row r="5" customFormat="false" ht="24.95" hidden="false" customHeight="true" outlineLevel="0" collapsed="false">
      <c r="A5" s="4"/>
      <c r="B5" s="153" t="n">
        <v>80</v>
      </c>
      <c r="C5" s="153" t="n">
        <v>8</v>
      </c>
      <c r="D5" s="153" t="n">
        <v>25</v>
      </c>
      <c r="E5" s="153" t="n">
        <v>0</v>
      </c>
      <c r="F5" s="153" t="n">
        <v>80</v>
      </c>
      <c r="G5" s="153" t="n">
        <v>80</v>
      </c>
      <c r="H5" s="153" t="n">
        <v>0</v>
      </c>
      <c r="I5" s="153" t="n">
        <v>91</v>
      </c>
      <c r="J5" s="154"/>
      <c r="K5" s="155" t="n">
        <f aca="false">B5/20.039+C5/12.153+D5/22.9898+E5/39.0983</f>
        <v>5.7379276348764</v>
      </c>
      <c r="L5" s="155" t="n">
        <f aca="false">F5/35.453+G5/48.0313+H5/62.0049+I5/50.0435</f>
        <v>5.74050716273993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</row>
    <row r="6" customFormat="false" ht="17.25" hidden="false" customHeight="true" outlineLevel="0" collapsed="false">
      <c r="A6" s="4"/>
      <c r="B6" s="156" t="s">
        <v>133</v>
      </c>
      <c r="C6" s="156"/>
      <c r="D6" s="156"/>
      <c r="E6" s="156"/>
      <c r="F6" s="157" t="s">
        <v>134</v>
      </c>
      <c r="G6" s="157"/>
      <c r="H6" s="157"/>
      <c r="I6" s="157"/>
      <c r="J6" s="4"/>
      <c r="K6" s="158" t="str">
        <f aca="false">IF(AND(K5=0,L5=0),"Good Check",IF(K5=0,"Bad Check",IF(ABS(1-(L5/K5))&lt;=0.03,"Good Check","Bad Check")))</f>
        <v>Good Check</v>
      </c>
      <c r="L6" s="158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  <c r="ALW6" s="4"/>
      <c r="ALX6" s="4"/>
      <c r="ALY6" s="4"/>
      <c r="ALZ6" s="4"/>
      <c r="AMA6" s="4"/>
      <c r="AMB6" s="4"/>
      <c r="AMC6" s="4"/>
      <c r="AMD6" s="4"/>
      <c r="AME6" s="4"/>
      <c r="AMF6" s="4"/>
      <c r="AMG6" s="4"/>
      <c r="AMH6" s="4"/>
      <c r="AMI6" s="4"/>
      <c r="AMJ6" s="4"/>
    </row>
    <row r="7" customFormat="false" ht="17.25" hidden="false" customHeight="true" outlineLevel="0" collapsed="false">
      <c r="A7" s="4"/>
      <c r="B7" s="4"/>
      <c r="C7" s="4"/>
      <c r="D7" s="4"/>
      <c r="E7" s="4"/>
      <c r="F7" s="4"/>
      <c r="G7" s="4"/>
      <c r="H7" s="4"/>
      <c r="I7" s="4"/>
      <c r="J7" s="4"/>
      <c r="K7" s="109"/>
      <c r="L7" s="109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  <c r="ADC7" s="4"/>
      <c r="ADD7" s="4"/>
      <c r="ADE7" s="4"/>
      <c r="ADF7" s="4"/>
      <c r="ADG7" s="4"/>
      <c r="ADH7" s="4"/>
      <c r="ADI7" s="4"/>
      <c r="ADJ7" s="4"/>
      <c r="ADK7" s="4"/>
      <c r="ADL7" s="4"/>
      <c r="ADM7" s="4"/>
      <c r="ADN7" s="4"/>
      <c r="ADO7" s="4"/>
      <c r="ADP7" s="4"/>
      <c r="ADQ7" s="4"/>
      <c r="ADR7" s="4"/>
      <c r="ADS7" s="4"/>
      <c r="ADT7" s="4"/>
      <c r="ADU7" s="4"/>
      <c r="ADV7" s="4"/>
      <c r="ADW7" s="4"/>
      <c r="ADX7" s="4"/>
      <c r="ADY7" s="4"/>
      <c r="ADZ7" s="4"/>
      <c r="AEA7" s="4"/>
      <c r="AEB7" s="4"/>
      <c r="AEC7" s="4"/>
      <c r="AED7" s="4"/>
      <c r="AEE7" s="4"/>
      <c r="AEF7" s="4"/>
      <c r="AEG7" s="4"/>
      <c r="AEH7" s="4"/>
      <c r="AEI7" s="4"/>
      <c r="AEJ7" s="4"/>
      <c r="AEK7" s="4"/>
      <c r="AEL7" s="4"/>
      <c r="AEM7" s="4"/>
      <c r="AEN7" s="4"/>
      <c r="AEO7" s="4"/>
      <c r="AEP7" s="4"/>
      <c r="AEQ7" s="4"/>
      <c r="AER7" s="4"/>
      <c r="AES7" s="4"/>
      <c r="AET7" s="4"/>
      <c r="AEU7" s="4"/>
      <c r="AEV7" s="4"/>
      <c r="AEW7" s="4"/>
      <c r="AEX7" s="4"/>
      <c r="AEY7" s="4"/>
      <c r="AEZ7" s="4"/>
      <c r="AFA7" s="4"/>
      <c r="AFB7" s="4"/>
      <c r="AFC7" s="4"/>
      <c r="AFD7" s="4"/>
      <c r="AFE7" s="4"/>
      <c r="AFF7" s="4"/>
      <c r="AFG7" s="4"/>
      <c r="AFH7" s="4"/>
      <c r="AFI7" s="4"/>
      <c r="AFJ7" s="4"/>
      <c r="AFK7" s="4"/>
      <c r="AFL7" s="4"/>
      <c r="AFM7" s="4"/>
      <c r="AFN7" s="4"/>
      <c r="AFO7" s="4"/>
      <c r="AFP7" s="4"/>
      <c r="AFQ7" s="4"/>
      <c r="AFR7" s="4"/>
      <c r="AFS7" s="4"/>
      <c r="AFT7" s="4"/>
      <c r="AFU7" s="4"/>
      <c r="AFV7" s="4"/>
      <c r="AFW7" s="4"/>
      <c r="AFX7" s="4"/>
      <c r="AFY7" s="4"/>
      <c r="AFZ7" s="4"/>
      <c r="AGA7" s="4"/>
      <c r="AGB7" s="4"/>
      <c r="AGC7" s="4"/>
      <c r="AGD7" s="4"/>
      <c r="AGE7" s="4"/>
      <c r="AGF7" s="4"/>
      <c r="AGG7" s="4"/>
      <c r="AGH7" s="4"/>
      <c r="AGI7" s="4"/>
      <c r="AGJ7" s="4"/>
      <c r="AGK7" s="4"/>
      <c r="AGL7" s="4"/>
      <c r="AGM7" s="4"/>
      <c r="AGN7" s="4"/>
      <c r="AGO7" s="4"/>
      <c r="AGP7" s="4"/>
      <c r="AGQ7" s="4"/>
      <c r="AGR7" s="4"/>
      <c r="AGS7" s="4"/>
      <c r="AGT7" s="4"/>
      <c r="AGU7" s="4"/>
      <c r="AGV7" s="4"/>
      <c r="AGW7" s="4"/>
      <c r="AGX7" s="4"/>
      <c r="AGY7" s="4"/>
      <c r="AGZ7" s="4"/>
      <c r="AHA7" s="4"/>
      <c r="AHB7" s="4"/>
      <c r="AHC7" s="4"/>
      <c r="AHD7" s="4"/>
      <c r="AHE7" s="4"/>
      <c r="AHF7" s="4"/>
      <c r="AHG7" s="4"/>
      <c r="AHH7" s="4"/>
      <c r="AHI7" s="4"/>
      <c r="AHJ7" s="4"/>
      <c r="AHK7" s="4"/>
      <c r="AHL7" s="4"/>
      <c r="AHM7" s="4"/>
      <c r="AHN7" s="4"/>
      <c r="AHO7" s="4"/>
      <c r="AHP7" s="4"/>
      <c r="AHQ7" s="4"/>
      <c r="AHR7" s="4"/>
      <c r="AHS7" s="4"/>
      <c r="AHT7" s="4"/>
      <c r="AHU7" s="4"/>
      <c r="AHV7" s="4"/>
      <c r="AHW7" s="4"/>
      <c r="AHX7" s="4"/>
      <c r="AHY7" s="4"/>
      <c r="AHZ7" s="4"/>
      <c r="AIA7" s="4"/>
      <c r="AIB7" s="4"/>
      <c r="AIC7" s="4"/>
      <c r="AID7" s="4"/>
      <c r="AIE7" s="4"/>
      <c r="AIF7" s="4"/>
      <c r="AIG7" s="4"/>
      <c r="AIH7" s="4"/>
      <c r="AII7" s="4"/>
      <c r="AIJ7" s="4"/>
      <c r="AIK7" s="4"/>
      <c r="AIL7" s="4"/>
      <c r="AIM7" s="4"/>
      <c r="AIN7" s="4"/>
      <c r="AIO7" s="4"/>
      <c r="AIP7" s="4"/>
      <c r="AIQ7" s="4"/>
      <c r="AIR7" s="4"/>
      <c r="AIS7" s="4"/>
      <c r="AIT7" s="4"/>
      <c r="AIU7" s="4"/>
      <c r="AIV7" s="4"/>
      <c r="AIW7" s="4"/>
      <c r="AIX7" s="4"/>
      <c r="AIY7" s="4"/>
      <c r="AIZ7" s="4"/>
      <c r="AJA7" s="4"/>
      <c r="AJB7" s="4"/>
      <c r="AJC7" s="4"/>
      <c r="AJD7" s="4"/>
      <c r="AJE7" s="4"/>
      <c r="AJF7" s="4"/>
      <c r="AJG7" s="4"/>
      <c r="AJH7" s="4"/>
      <c r="AJI7" s="4"/>
      <c r="AJJ7" s="4"/>
      <c r="AJK7" s="4"/>
      <c r="AJL7" s="4"/>
      <c r="AJM7" s="4"/>
      <c r="AJN7" s="4"/>
      <c r="AJO7" s="4"/>
      <c r="AJP7" s="4"/>
      <c r="AJQ7" s="4"/>
      <c r="AJR7" s="4"/>
      <c r="AJS7" s="4"/>
      <c r="AJT7" s="4"/>
      <c r="AJU7" s="4"/>
      <c r="AJV7" s="4"/>
      <c r="AJW7" s="4"/>
      <c r="AJX7" s="4"/>
      <c r="AJY7" s="4"/>
      <c r="AJZ7" s="4"/>
      <c r="AKA7" s="4"/>
      <c r="AKB7" s="4"/>
      <c r="AKC7" s="4"/>
      <c r="AKD7" s="4"/>
      <c r="AKE7" s="4"/>
      <c r="AKF7" s="4"/>
      <c r="AKG7" s="4"/>
      <c r="AKH7" s="4"/>
      <c r="AKI7" s="4"/>
      <c r="AKJ7" s="4"/>
      <c r="AKK7" s="4"/>
      <c r="AKL7" s="4"/>
      <c r="AKM7" s="4"/>
      <c r="AKN7" s="4"/>
      <c r="AKO7" s="4"/>
      <c r="AKP7" s="4"/>
      <c r="AKQ7" s="4"/>
      <c r="AKR7" s="4"/>
      <c r="AKS7" s="4"/>
      <c r="AKT7" s="4"/>
      <c r="AKU7" s="4"/>
      <c r="AKV7" s="4"/>
      <c r="AKW7" s="4"/>
      <c r="AKX7" s="4"/>
      <c r="AKY7" s="4"/>
      <c r="AKZ7" s="4"/>
      <c r="ALA7" s="4"/>
      <c r="ALB7" s="4"/>
      <c r="ALC7" s="4"/>
      <c r="ALD7" s="4"/>
      <c r="ALE7" s="4"/>
      <c r="ALF7" s="4"/>
      <c r="ALG7" s="4"/>
      <c r="ALH7" s="4"/>
      <c r="ALI7" s="4"/>
      <c r="ALJ7" s="4"/>
      <c r="ALK7" s="4"/>
      <c r="ALL7" s="4"/>
      <c r="ALM7" s="4"/>
      <c r="ALN7" s="4"/>
      <c r="ALO7" s="4"/>
      <c r="ALP7" s="4"/>
      <c r="ALQ7" s="4"/>
      <c r="ALR7" s="4"/>
      <c r="ALS7" s="4"/>
      <c r="ALT7" s="4"/>
      <c r="ALU7" s="4"/>
      <c r="ALV7" s="4"/>
      <c r="ALW7" s="4"/>
      <c r="ALX7" s="4"/>
      <c r="ALY7" s="4"/>
      <c r="ALZ7" s="4"/>
      <c r="AMA7" s="4"/>
      <c r="AMB7" s="4"/>
      <c r="AMC7" s="4"/>
      <c r="AMD7" s="4"/>
      <c r="AME7" s="4"/>
      <c r="AMF7" s="4"/>
      <c r="AMG7" s="4"/>
      <c r="AMH7" s="4"/>
      <c r="AMI7" s="4"/>
      <c r="AMJ7" s="4"/>
    </row>
    <row r="8" customFormat="false" ht="21.6" hidden="false" customHeight="true" outlineLevel="0" collapsed="false">
      <c r="A8" s="4"/>
      <c r="B8" s="151" t="s">
        <v>135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  <c r="ALR8" s="4"/>
      <c r="ALS8" s="4"/>
      <c r="ALT8" s="4"/>
      <c r="ALU8" s="4"/>
      <c r="ALV8" s="4"/>
      <c r="ALW8" s="4"/>
      <c r="ALX8" s="4"/>
      <c r="ALY8" s="4"/>
      <c r="ALZ8" s="4"/>
      <c r="AMA8" s="4"/>
      <c r="AMB8" s="4"/>
      <c r="AMC8" s="4"/>
      <c r="AMD8" s="4"/>
      <c r="AME8" s="4"/>
      <c r="AMF8" s="4"/>
      <c r="AMG8" s="4"/>
      <c r="AMH8" s="4"/>
      <c r="AMI8" s="4"/>
      <c r="AMJ8" s="4"/>
    </row>
    <row r="9" customFormat="false" ht="21.6" hidden="false" customHeight="true" outlineLevel="0" collapsed="false">
      <c r="A9" s="4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4"/>
      <c r="AMI9" s="4"/>
      <c r="AMJ9" s="4"/>
    </row>
    <row r="10" customFormat="false" ht="23.1" hidden="false" customHeight="true" outlineLevel="0" collapsed="false">
      <c r="A10" s="4"/>
      <c r="B10" s="152" t="s">
        <v>41</v>
      </c>
      <c r="C10" s="152" t="s">
        <v>42</v>
      </c>
      <c r="D10" s="152" t="s">
        <v>40</v>
      </c>
      <c r="E10" s="152" t="s">
        <v>127</v>
      </c>
      <c r="F10" s="152" t="s">
        <v>38</v>
      </c>
      <c r="G10" s="152" t="s">
        <v>128</v>
      </c>
      <c r="H10" s="152" t="s">
        <v>129</v>
      </c>
      <c r="I10" s="152" t="s">
        <v>130</v>
      </c>
      <c r="J10" s="152"/>
      <c r="K10" s="152" t="s">
        <v>131</v>
      </c>
      <c r="L10" s="152" t="s">
        <v>132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  <c r="ADC10" s="4"/>
      <c r="ADD10" s="4"/>
      <c r="ADE10" s="4"/>
      <c r="ADF10" s="4"/>
      <c r="ADG10" s="4"/>
      <c r="ADH10" s="4"/>
      <c r="ADI10" s="4"/>
      <c r="ADJ10" s="4"/>
      <c r="ADK10" s="4"/>
      <c r="ADL10" s="4"/>
      <c r="ADM10" s="4"/>
      <c r="ADN10" s="4"/>
      <c r="ADO10" s="4"/>
      <c r="ADP10" s="4"/>
      <c r="ADQ10" s="4"/>
      <c r="ADR10" s="4"/>
      <c r="ADS10" s="4"/>
      <c r="ADT10" s="4"/>
      <c r="ADU10" s="4"/>
      <c r="ADV10" s="4"/>
      <c r="ADW10" s="4"/>
      <c r="ADX10" s="4"/>
      <c r="ADY10" s="4"/>
      <c r="ADZ10" s="4"/>
      <c r="AEA10" s="4"/>
      <c r="AEB10" s="4"/>
      <c r="AEC10" s="4"/>
      <c r="AED10" s="4"/>
      <c r="AEE10" s="4"/>
      <c r="AEF10" s="4"/>
      <c r="AEG10" s="4"/>
      <c r="AEH10" s="4"/>
      <c r="AEI10" s="4"/>
      <c r="AEJ10" s="4"/>
      <c r="AEK10" s="4"/>
      <c r="AEL10" s="4"/>
      <c r="AEM10" s="4"/>
      <c r="AEN10" s="4"/>
      <c r="AEO10" s="4"/>
      <c r="AEP10" s="4"/>
      <c r="AEQ10" s="4"/>
      <c r="AER10" s="4"/>
      <c r="AES10" s="4"/>
      <c r="AET10" s="4"/>
      <c r="AEU10" s="4"/>
      <c r="AEV10" s="4"/>
      <c r="AEW10" s="4"/>
      <c r="AEX10" s="4"/>
      <c r="AEY10" s="4"/>
      <c r="AEZ10" s="4"/>
      <c r="AFA10" s="4"/>
      <c r="AFB10" s="4"/>
      <c r="AFC10" s="4"/>
      <c r="AFD10" s="4"/>
      <c r="AFE10" s="4"/>
      <c r="AFF10" s="4"/>
      <c r="AFG10" s="4"/>
      <c r="AFH10" s="4"/>
      <c r="AFI10" s="4"/>
      <c r="AFJ10" s="4"/>
      <c r="AFK10" s="4"/>
      <c r="AFL10" s="4"/>
      <c r="AFM10" s="4"/>
      <c r="AFN10" s="4"/>
      <c r="AFO10" s="4"/>
      <c r="AFP10" s="4"/>
      <c r="AFQ10" s="4"/>
      <c r="AFR10" s="4"/>
      <c r="AFS10" s="4"/>
      <c r="AFT10" s="4"/>
      <c r="AFU10" s="4"/>
      <c r="AFV10" s="4"/>
      <c r="AFW10" s="4"/>
      <c r="AFX10" s="4"/>
      <c r="AFY10" s="4"/>
      <c r="AFZ10" s="4"/>
      <c r="AGA10" s="4"/>
      <c r="AGB10" s="4"/>
      <c r="AGC10" s="4"/>
      <c r="AGD10" s="4"/>
      <c r="AGE10" s="4"/>
      <c r="AGF10" s="4"/>
      <c r="AGG10" s="4"/>
      <c r="AGH10" s="4"/>
      <c r="AGI10" s="4"/>
      <c r="AGJ10" s="4"/>
      <c r="AGK10" s="4"/>
      <c r="AGL10" s="4"/>
      <c r="AGM10" s="4"/>
      <c r="AGN10" s="4"/>
      <c r="AGO10" s="4"/>
      <c r="AGP10" s="4"/>
      <c r="AGQ10" s="4"/>
      <c r="AGR10" s="4"/>
      <c r="AGS10" s="4"/>
      <c r="AGT10" s="4"/>
      <c r="AGU10" s="4"/>
      <c r="AGV10" s="4"/>
      <c r="AGW10" s="4"/>
      <c r="AGX10" s="4"/>
      <c r="AGY10" s="4"/>
      <c r="AGZ10" s="4"/>
      <c r="AHA10" s="4"/>
      <c r="AHB10" s="4"/>
      <c r="AHC10" s="4"/>
      <c r="AHD10" s="4"/>
      <c r="AHE10" s="4"/>
      <c r="AHF10" s="4"/>
      <c r="AHG10" s="4"/>
      <c r="AHH10" s="4"/>
      <c r="AHI10" s="4"/>
      <c r="AHJ10" s="4"/>
      <c r="AHK10" s="4"/>
      <c r="AHL10" s="4"/>
      <c r="AHM10" s="4"/>
      <c r="AHN10" s="4"/>
      <c r="AHO10" s="4"/>
      <c r="AHP10" s="4"/>
      <c r="AHQ10" s="4"/>
      <c r="AHR10" s="4"/>
      <c r="AHS10" s="4"/>
      <c r="AHT10" s="4"/>
      <c r="AHU10" s="4"/>
      <c r="AHV10" s="4"/>
      <c r="AHW10" s="4"/>
      <c r="AHX10" s="4"/>
      <c r="AHY10" s="4"/>
      <c r="AHZ10" s="4"/>
      <c r="AIA10" s="4"/>
      <c r="AIB10" s="4"/>
      <c r="AIC10" s="4"/>
      <c r="AID10" s="4"/>
      <c r="AIE10" s="4"/>
      <c r="AIF10" s="4"/>
      <c r="AIG10" s="4"/>
      <c r="AIH10" s="4"/>
      <c r="AII10" s="4"/>
      <c r="AIJ10" s="4"/>
      <c r="AIK10" s="4"/>
      <c r="AIL10" s="4"/>
      <c r="AIM10" s="4"/>
      <c r="AIN10" s="4"/>
      <c r="AIO10" s="4"/>
      <c r="AIP10" s="4"/>
      <c r="AIQ10" s="4"/>
      <c r="AIR10" s="4"/>
      <c r="AIS10" s="4"/>
      <c r="AIT10" s="4"/>
      <c r="AIU10" s="4"/>
      <c r="AIV10" s="4"/>
      <c r="AIW10" s="4"/>
      <c r="AIX10" s="4"/>
      <c r="AIY10" s="4"/>
      <c r="AIZ10" s="4"/>
      <c r="AJA10" s="4"/>
      <c r="AJB10" s="4"/>
      <c r="AJC10" s="4"/>
      <c r="AJD10" s="4"/>
      <c r="AJE10" s="4"/>
      <c r="AJF10" s="4"/>
      <c r="AJG10" s="4"/>
      <c r="AJH10" s="4"/>
      <c r="AJI10" s="4"/>
      <c r="AJJ10" s="4"/>
      <c r="AJK10" s="4"/>
      <c r="AJL10" s="4"/>
      <c r="AJM10" s="4"/>
      <c r="AJN10" s="4"/>
      <c r="AJO10" s="4"/>
      <c r="AJP10" s="4"/>
      <c r="AJQ10" s="4"/>
      <c r="AJR10" s="4"/>
      <c r="AJS10" s="4"/>
      <c r="AJT10" s="4"/>
      <c r="AJU10" s="4"/>
      <c r="AJV10" s="4"/>
      <c r="AJW10" s="4"/>
      <c r="AJX10" s="4"/>
      <c r="AJY10" s="4"/>
      <c r="AJZ10" s="4"/>
      <c r="AKA10" s="4"/>
      <c r="AKB10" s="4"/>
      <c r="AKC10" s="4"/>
      <c r="AKD10" s="4"/>
      <c r="AKE10" s="4"/>
      <c r="AKF10" s="4"/>
      <c r="AKG10" s="4"/>
      <c r="AKH10" s="4"/>
      <c r="AKI10" s="4"/>
      <c r="AKJ10" s="4"/>
      <c r="AKK10" s="4"/>
      <c r="AKL10" s="4"/>
      <c r="AKM10" s="4"/>
      <c r="AKN10" s="4"/>
      <c r="AKO10" s="4"/>
      <c r="AKP10" s="4"/>
      <c r="AKQ10" s="4"/>
      <c r="AKR10" s="4"/>
      <c r="AKS10" s="4"/>
      <c r="AKT10" s="4"/>
      <c r="AKU10" s="4"/>
      <c r="AKV10" s="4"/>
      <c r="AKW10" s="4"/>
      <c r="AKX10" s="4"/>
      <c r="AKY10" s="4"/>
      <c r="AKZ10" s="4"/>
      <c r="ALA10" s="4"/>
      <c r="ALB10" s="4"/>
      <c r="ALC10" s="4"/>
      <c r="ALD10" s="4"/>
      <c r="ALE10" s="4"/>
      <c r="ALF10" s="4"/>
      <c r="ALG10" s="4"/>
      <c r="ALH10" s="4"/>
      <c r="ALI10" s="4"/>
      <c r="ALJ10" s="4"/>
      <c r="ALK10" s="4"/>
      <c r="ALL10" s="4"/>
      <c r="ALM10" s="4"/>
      <c r="ALN10" s="4"/>
      <c r="ALO10" s="4"/>
      <c r="ALP10" s="4"/>
      <c r="ALQ10" s="4"/>
      <c r="ALR10" s="4"/>
      <c r="ALS10" s="4"/>
      <c r="ALT10" s="4"/>
      <c r="ALU10" s="4"/>
      <c r="ALV10" s="4"/>
      <c r="ALW10" s="4"/>
      <c r="ALX10" s="4"/>
      <c r="ALY10" s="4"/>
      <c r="ALZ10" s="4"/>
      <c r="AMA10" s="4"/>
      <c r="AMB10" s="4"/>
      <c r="AMC10" s="4"/>
      <c r="AMD10" s="4"/>
      <c r="AME10" s="4"/>
      <c r="AMF10" s="4"/>
      <c r="AMG10" s="4"/>
      <c r="AMH10" s="4"/>
      <c r="AMI10" s="4"/>
      <c r="AMJ10" s="4"/>
    </row>
    <row r="11" customFormat="false" ht="25.15" hidden="false" customHeight="true" outlineLevel="0" collapsed="false">
      <c r="A11" s="4"/>
      <c r="B11" s="159" t="n">
        <v>0</v>
      </c>
      <c r="C11" s="159" t="n">
        <v>0</v>
      </c>
      <c r="D11" s="159" t="n">
        <v>0</v>
      </c>
      <c r="E11" s="153" t="n">
        <v>0</v>
      </c>
      <c r="F11" s="159" t="n">
        <v>0</v>
      </c>
      <c r="G11" s="159" t="n">
        <v>0</v>
      </c>
      <c r="H11" s="159" t="n">
        <v>0</v>
      </c>
      <c r="I11" s="159" t="n">
        <v>0</v>
      </c>
      <c r="J11" s="154"/>
      <c r="K11" s="155" t="n">
        <f aca="false">B11/20.039+C11/12.153+D11/22.9898+E11/39.0983</f>
        <v>0</v>
      </c>
      <c r="L11" s="155" t="n">
        <f aca="false">F11/35.453+G11/48.0313+H11/62.0049+I11/50.0435</f>
        <v>0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4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4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4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4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4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4"/>
      <c r="AKJ11" s="4"/>
      <c r="AKK11" s="4"/>
      <c r="AKL11" s="4"/>
      <c r="AKM11" s="4"/>
      <c r="AKN11" s="4"/>
      <c r="AKO11" s="4"/>
      <c r="AKP11" s="4"/>
      <c r="AKQ11" s="4"/>
      <c r="AKR11" s="4"/>
      <c r="AKS11" s="4"/>
      <c r="AKT11" s="4"/>
      <c r="AKU11" s="4"/>
      <c r="AKV11" s="4"/>
      <c r="AKW11" s="4"/>
      <c r="AKX11" s="4"/>
      <c r="AKY11" s="4"/>
      <c r="AKZ11" s="4"/>
      <c r="ALA11" s="4"/>
      <c r="ALB11" s="4"/>
      <c r="ALC11" s="4"/>
      <c r="ALD11" s="4"/>
      <c r="ALE11" s="4"/>
      <c r="ALF11" s="4"/>
      <c r="ALG11" s="4"/>
      <c r="ALH11" s="4"/>
      <c r="ALI11" s="4"/>
      <c r="ALJ11" s="4"/>
      <c r="ALK11" s="4"/>
      <c r="ALL11" s="4"/>
      <c r="ALM11" s="4"/>
      <c r="ALN11" s="4"/>
      <c r="ALO11" s="4"/>
      <c r="ALP11" s="4"/>
      <c r="ALQ11" s="4"/>
      <c r="ALR11" s="4"/>
      <c r="ALS11" s="4"/>
      <c r="ALT11" s="4"/>
      <c r="ALU11" s="4"/>
      <c r="ALV11" s="4"/>
      <c r="ALW11" s="4"/>
      <c r="ALX11" s="4"/>
      <c r="ALY11" s="4"/>
      <c r="ALZ11" s="4"/>
      <c r="AMA11" s="4"/>
      <c r="AMB11" s="4"/>
      <c r="AMC11" s="4"/>
      <c r="AMD11" s="4"/>
      <c r="AME11" s="4"/>
      <c r="AMF11" s="4"/>
      <c r="AMG11" s="4"/>
      <c r="AMH11" s="4"/>
      <c r="AMI11" s="4"/>
      <c r="AMJ11" s="4"/>
    </row>
    <row r="12" customFormat="false" ht="17.25" hidden="false" customHeight="true" outlineLevel="0" collapsed="false">
      <c r="A12" s="160"/>
      <c r="B12" s="156" t="s">
        <v>133</v>
      </c>
      <c r="C12" s="156"/>
      <c r="D12" s="156"/>
      <c r="E12" s="156"/>
      <c r="F12" s="157" t="s">
        <v>134</v>
      </c>
      <c r="G12" s="157"/>
      <c r="H12" s="157"/>
      <c r="I12" s="157"/>
      <c r="J12" s="160"/>
      <c r="K12" s="158" t="str">
        <f aca="false">IF(AND(K11=0,L11=0),"Good Check",IF(K11=0,"Bad Check",IF(ABS(1-(L11/K11))&lt;=0.03,"Good Check","Bad Check")))</f>
        <v>Good Check</v>
      </c>
      <c r="L12" s="158"/>
      <c r="M12" s="160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  <c r="ADC12" s="4"/>
      <c r="ADD12" s="4"/>
      <c r="ADE12" s="4"/>
      <c r="ADF12" s="4"/>
      <c r="ADG12" s="4"/>
      <c r="ADH12" s="4"/>
      <c r="ADI12" s="4"/>
      <c r="ADJ12" s="4"/>
      <c r="ADK12" s="4"/>
      <c r="ADL12" s="4"/>
      <c r="ADM12" s="4"/>
      <c r="ADN12" s="4"/>
      <c r="ADO12" s="4"/>
      <c r="ADP12" s="4"/>
      <c r="ADQ12" s="4"/>
      <c r="ADR12" s="4"/>
      <c r="ADS12" s="4"/>
      <c r="ADT12" s="4"/>
      <c r="ADU12" s="4"/>
      <c r="ADV12" s="4"/>
      <c r="ADW12" s="4"/>
      <c r="ADX12" s="4"/>
      <c r="ADY12" s="4"/>
      <c r="ADZ12" s="4"/>
      <c r="AEA12" s="4"/>
      <c r="AEB12" s="4"/>
      <c r="AEC12" s="4"/>
      <c r="AED12" s="4"/>
      <c r="AEE12" s="4"/>
      <c r="AEF12" s="4"/>
      <c r="AEG12" s="4"/>
      <c r="AEH12" s="4"/>
      <c r="AEI12" s="4"/>
      <c r="AEJ12" s="4"/>
      <c r="AEK12" s="4"/>
      <c r="AEL12" s="4"/>
      <c r="AEM12" s="4"/>
      <c r="AEN12" s="4"/>
      <c r="AEO12" s="4"/>
      <c r="AEP12" s="4"/>
      <c r="AEQ12" s="4"/>
      <c r="AER12" s="4"/>
      <c r="AES12" s="4"/>
      <c r="AET12" s="4"/>
      <c r="AEU12" s="4"/>
      <c r="AEV12" s="4"/>
      <c r="AEW12" s="4"/>
      <c r="AEX12" s="4"/>
      <c r="AEY12" s="4"/>
      <c r="AEZ12" s="4"/>
      <c r="AFA12" s="4"/>
      <c r="AFB12" s="4"/>
      <c r="AFC12" s="4"/>
      <c r="AFD12" s="4"/>
      <c r="AFE12" s="4"/>
      <c r="AFF12" s="4"/>
      <c r="AFG12" s="4"/>
      <c r="AFH12" s="4"/>
      <c r="AFI12" s="4"/>
      <c r="AFJ12" s="4"/>
      <c r="AFK12" s="4"/>
      <c r="AFL12" s="4"/>
      <c r="AFM12" s="4"/>
      <c r="AFN12" s="4"/>
      <c r="AFO12" s="4"/>
      <c r="AFP12" s="4"/>
      <c r="AFQ12" s="4"/>
      <c r="AFR12" s="4"/>
      <c r="AFS12" s="4"/>
      <c r="AFT12" s="4"/>
      <c r="AFU12" s="4"/>
      <c r="AFV12" s="4"/>
      <c r="AFW12" s="4"/>
      <c r="AFX12" s="4"/>
      <c r="AFY12" s="4"/>
      <c r="AFZ12" s="4"/>
      <c r="AGA12" s="4"/>
      <c r="AGB12" s="4"/>
      <c r="AGC12" s="4"/>
      <c r="AGD12" s="4"/>
      <c r="AGE12" s="4"/>
      <c r="AGF12" s="4"/>
      <c r="AGG12" s="4"/>
      <c r="AGH12" s="4"/>
      <c r="AGI12" s="4"/>
      <c r="AGJ12" s="4"/>
      <c r="AGK12" s="4"/>
      <c r="AGL12" s="4"/>
      <c r="AGM12" s="4"/>
      <c r="AGN12" s="4"/>
      <c r="AGO12" s="4"/>
      <c r="AGP12" s="4"/>
      <c r="AGQ12" s="4"/>
      <c r="AGR12" s="4"/>
      <c r="AGS12" s="4"/>
      <c r="AGT12" s="4"/>
      <c r="AGU12" s="4"/>
      <c r="AGV12" s="4"/>
      <c r="AGW12" s="4"/>
      <c r="AGX12" s="4"/>
      <c r="AGY12" s="4"/>
      <c r="AGZ12" s="4"/>
      <c r="AHA12" s="4"/>
      <c r="AHB12" s="4"/>
      <c r="AHC12" s="4"/>
      <c r="AHD12" s="4"/>
      <c r="AHE12" s="4"/>
      <c r="AHF12" s="4"/>
      <c r="AHG12" s="4"/>
      <c r="AHH12" s="4"/>
      <c r="AHI12" s="4"/>
      <c r="AHJ12" s="4"/>
      <c r="AHK12" s="4"/>
      <c r="AHL12" s="4"/>
      <c r="AHM12" s="4"/>
      <c r="AHN12" s="4"/>
      <c r="AHO12" s="4"/>
      <c r="AHP12" s="4"/>
      <c r="AHQ12" s="4"/>
      <c r="AHR12" s="4"/>
      <c r="AHS12" s="4"/>
      <c r="AHT12" s="4"/>
      <c r="AHU12" s="4"/>
      <c r="AHV12" s="4"/>
      <c r="AHW12" s="4"/>
      <c r="AHX12" s="4"/>
      <c r="AHY12" s="4"/>
      <c r="AHZ12" s="4"/>
      <c r="AIA12" s="4"/>
      <c r="AIB12" s="4"/>
      <c r="AIC12" s="4"/>
      <c r="AID12" s="4"/>
      <c r="AIE12" s="4"/>
      <c r="AIF12" s="4"/>
      <c r="AIG12" s="4"/>
      <c r="AIH12" s="4"/>
      <c r="AII12" s="4"/>
      <c r="AIJ12" s="4"/>
      <c r="AIK12" s="4"/>
      <c r="AIL12" s="4"/>
      <c r="AIM12" s="4"/>
      <c r="AIN12" s="4"/>
      <c r="AIO12" s="4"/>
      <c r="AIP12" s="4"/>
      <c r="AIQ12" s="4"/>
      <c r="AIR12" s="4"/>
      <c r="AIS12" s="4"/>
      <c r="AIT12" s="4"/>
      <c r="AIU12" s="4"/>
      <c r="AIV12" s="4"/>
      <c r="AIW12" s="4"/>
      <c r="AIX12" s="4"/>
      <c r="AIY12" s="4"/>
      <c r="AIZ12" s="4"/>
      <c r="AJA12" s="4"/>
      <c r="AJB12" s="4"/>
      <c r="AJC12" s="4"/>
      <c r="AJD12" s="4"/>
      <c r="AJE12" s="4"/>
      <c r="AJF12" s="4"/>
      <c r="AJG12" s="4"/>
      <c r="AJH12" s="4"/>
      <c r="AJI12" s="4"/>
      <c r="AJJ12" s="4"/>
      <c r="AJK12" s="4"/>
      <c r="AJL12" s="4"/>
      <c r="AJM12" s="4"/>
      <c r="AJN12" s="4"/>
      <c r="AJO12" s="4"/>
      <c r="AJP12" s="4"/>
      <c r="AJQ12" s="4"/>
      <c r="AJR12" s="4"/>
      <c r="AJS12" s="4"/>
      <c r="AJT12" s="4"/>
      <c r="AJU12" s="4"/>
      <c r="AJV12" s="4"/>
      <c r="AJW12" s="4"/>
      <c r="AJX12" s="4"/>
      <c r="AJY12" s="4"/>
      <c r="AJZ12" s="4"/>
      <c r="AKA12" s="4"/>
      <c r="AKB12" s="4"/>
      <c r="AKC12" s="4"/>
      <c r="AKD12" s="4"/>
      <c r="AKE12" s="4"/>
      <c r="AKF12" s="4"/>
      <c r="AKG12" s="4"/>
      <c r="AKH12" s="4"/>
      <c r="AKI12" s="4"/>
      <c r="AKJ12" s="4"/>
      <c r="AKK12" s="4"/>
      <c r="AKL12" s="4"/>
      <c r="AKM12" s="4"/>
      <c r="AKN12" s="4"/>
      <c r="AKO12" s="4"/>
      <c r="AKP12" s="4"/>
      <c r="AKQ12" s="4"/>
      <c r="AKR12" s="4"/>
      <c r="AKS12" s="4"/>
      <c r="AKT12" s="4"/>
      <c r="AKU12" s="4"/>
      <c r="AKV12" s="4"/>
      <c r="AKW12" s="4"/>
      <c r="AKX12" s="4"/>
      <c r="AKY12" s="4"/>
      <c r="AKZ12" s="4"/>
      <c r="ALA12" s="4"/>
      <c r="ALB12" s="4"/>
      <c r="ALC12" s="4"/>
      <c r="ALD12" s="4"/>
      <c r="ALE12" s="4"/>
      <c r="ALF12" s="4"/>
      <c r="ALG12" s="4"/>
      <c r="ALH12" s="4"/>
      <c r="ALI12" s="4"/>
      <c r="ALJ12" s="4"/>
      <c r="ALK12" s="4"/>
      <c r="ALL12" s="4"/>
      <c r="ALM12" s="4"/>
      <c r="ALN12" s="4"/>
      <c r="ALO12" s="4"/>
      <c r="ALP12" s="4"/>
      <c r="ALQ12" s="4"/>
      <c r="ALR12" s="4"/>
      <c r="ALS12" s="4"/>
      <c r="ALT12" s="4"/>
      <c r="ALU12" s="4"/>
      <c r="ALV12" s="4"/>
      <c r="ALW12" s="4"/>
      <c r="ALX12" s="4"/>
      <c r="ALY12" s="4"/>
      <c r="ALZ12" s="4"/>
      <c r="AMA12" s="4"/>
      <c r="AMB12" s="4"/>
      <c r="AMC12" s="4"/>
      <c r="AMD12" s="4"/>
      <c r="AME12" s="4"/>
      <c r="AMF12" s="4"/>
      <c r="AMG12" s="4"/>
      <c r="AMH12" s="4"/>
      <c r="AMI12" s="4"/>
      <c r="AMJ12" s="4"/>
    </row>
    <row r="13" customFormat="false" ht="17.25" hidden="false" customHeight="true" outlineLevel="0" collapsed="false">
      <c r="A13" s="160"/>
      <c r="B13" s="161"/>
      <c r="C13" s="161"/>
      <c r="D13" s="161"/>
      <c r="E13" s="161"/>
      <c r="F13" s="161"/>
      <c r="G13" s="161"/>
      <c r="H13" s="161"/>
      <c r="I13" s="161"/>
      <c r="J13" s="160"/>
      <c r="K13" s="105"/>
      <c r="L13" s="105"/>
      <c r="M13" s="160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/>
      <c r="AEK13" s="4"/>
      <c r="AEL13" s="4"/>
      <c r="AEM13" s="4"/>
      <c r="AEN13" s="4"/>
      <c r="AEO13" s="4"/>
      <c r="AEP13" s="4"/>
      <c r="AEQ13" s="4"/>
      <c r="AER13" s="4"/>
      <c r="AES13" s="4"/>
      <c r="AET13" s="4"/>
      <c r="AEU13" s="4"/>
      <c r="AEV13" s="4"/>
      <c r="AEW13" s="4"/>
      <c r="AEX13" s="4"/>
      <c r="AEY13" s="4"/>
      <c r="AEZ13" s="4"/>
      <c r="AFA13" s="4"/>
      <c r="AFB13" s="4"/>
      <c r="AFC13" s="4"/>
      <c r="AFD13" s="4"/>
      <c r="AFE13" s="4"/>
      <c r="AFF13" s="4"/>
      <c r="AFG13" s="4"/>
      <c r="AFH13" s="4"/>
      <c r="AFI13" s="4"/>
      <c r="AFJ13" s="4"/>
      <c r="AFK13" s="4"/>
      <c r="AFL13" s="4"/>
      <c r="AFM13" s="4"/>
      <c r="AFN13" s="4"/>
      <c r="AFO13" s="4"/>
      <c r="AFP13" s="4"/>
      <c r="AFQ13" s="4"/>
      <c r="AFR13" s="4"/>
      <c r="AFS13" s="4"/>
      <c r="AFT13" s="4"/>
      <c r="AFU13" s="4"/>
      <c r="AFV13" s="4"/>
      <c r="AFW13" s="4"/>
      <c r="AFX13" s="4"/>
      <c r="AFY13" s="4"/>
      <c r="AFZ13" s="4"/>
      <c r="AGA13" s="4"/>
      <c r="AGB13" s="4"/>
      <c r="AGC13" s="4"/>
      <c r="AGD13" s="4"/>
      <c r="AGE13" s="4"/>
      <c r="AGF13" s="4"/>
      <c r="AGG13" s="4"/>
      <c r="AGH13" s="4"/>
      <c r="AGI13" s="4"/>
      <c r="AGJ13" s="4"/>
      <c r="AGK13" s="4"/>
      <c r="AGL13" s="4"/>
      <c r="AGM13" s="4"/>
      <c r="AGN13" s="4"/>
      <c r="AGO13" s="4"/>
      <c r="AGP13" s="4"/>
      <c r="AGQ13" s="4"/>
      <c r="AGR13" s="4"/>
      <c r="AGS13" s="4"/>
      <c r="AGT13" s="4"/>
      <c r="AGU13" s="4"/>
      <c r="AGV13" s="4"/>
      <c r="AGW13" s="4"/>
      <c r="AGX13" s="4"/>
      <c r="AGY13" s="4"/>
      <c r="AGZ13" s="4"/>
      <c r="AHA13" s="4"/>
      <c r="AHB13" s="4"/>
      <c r="AHC13" s="4"/>
      <c r="AHD13" s="4"/>
      <c r="AHE13" s="4"/>
      <c r="AHF13" s="4"/>
      <c r="AHG13" s="4"/>
      <c r="AHH13" s="4"/>
      <c r="AHI13" s="4"/>
      <c r="AHJ13" s="4"/>
      <c r="AHK13" s="4"/>
      <c r="AHL13" s="4"/>
      <c r="AHM13" s="4"/>
      <c r="AHN13" s="4"/>
      <c r="AHO13" s="4"/>
      <c r="AHP13" s="4"/>
      <c r="AHQ13" s="4"/>
      <c r="AHR13" s="4"/>
      <c r="AHS13" s="4"/>
      <c r="AHT13" s="4"/>
      <c r="AHU13" s="4"/>
      <c r="AHV13" s="4"/>
      <c r="AHW13" s="4"/>
      <c r="AHX13" s="4"/>
      <c r="AHY13" s="4"/>
      <c r="AHZ13" s="4"/>
      <c r="AIA13" s="4"/>
      <c r="AIB13" s="4"/>
      <c r="AIC13" s="4"/>
      <c r="AID13" s="4"/>
      <c r="AIE13" s="4"/>
      <c r="AIF13" s="4"/>
      <c r="AIG13" s="4"/>
      <c r="AIH13" s="4"/>
      <c r="AII13" s="4"/>
      <c r="AIJ13" s="4"/>
      <c r="AIK13" s="4"/>
      <c r="AIL13" s="4"/>
      <c r="AIM13" s="4"/>
      <c r="AIN13" s="4"/>
      <c r="AIO13" s="4"/>
      <c r="AIP13" s="4"/>
      <c r="AIQ13" s="4"/>
      <c r="AIR13" s="4"/>
      <c r="AIS13" s="4"/>
      <c r="AIT13" s="4"/>
      <c r="AIU13" s="4"/>
      <c r="AIV13" s="4"/>
      <c r="AIW13" s="4"/>
      <c r="AIX13" s="4"/>
      <c r="AIY13" s="4"/>
      <c r="AIZ13" s="4"/>
      <c r="AJA13" s="4"/>
      <c r="AJB13" s="4"/>
      <c r="AJC13" s="4"/>
      <c r="AJD13" s="4"/>
      <c r="AJE13" s="4"/>
      <c r="AJF13" s="4"/>
      <c r="AJG13" s="4"/>
      <c r="AJH13" s="4"/>
      <c r="AJI13" s="4"/>
      <c r="AJJ13" s="4"/>
      <c r="AJK13" s="4"/>
      <c r="AJL13" s="4"/>
      <c r="AJM13" s="4"/>
      <c r="AJN13" s="4"/>
      <c r="AJO13" s="4"/>
      <c r="AJP13" s="4"/>
      <c r="AJQ13" s="4"/>
      <c r="AJR13" s="4"/>
      <c r="AJS13" s="4"/>
      <c r="AJT13" s="4"/>
      <c r="AJU13" s="4"/>
      <c r="AJV13" s="4"/>
      <c r="AJW13" s="4"/>
      <c r="AJX13" s="4"/>
      <c r="AJY13" s="4"/>
      <c r="AJZ13" s="4"/>
      <c r="AKA13" s="4"/>
      <c r="AKB13" s="4"/>
      <c r="AKC13" s="4"/>
      <c r="AKD13" s="4"/>
      <c r="AKE13" s="4"/>
      <c r="AKF13" s="4"/>
      <c r="AKG13" s="4"/>
      <c r="AKH13" s="4"/>
      <c r="AKI13" s="4"/>
      <c r="AKJ13" s="4"/>
      <c r="AKK13" s="4"/>
      <c r="AKL13" s="4"/>
      <c r="AKM13" s="4"/>
      <c r="AKN13" s="4"/>
      <c r="AKO13" s="4"/>
      <c r="AKP13" s="4"/>
      <c r="AKQ13" s="4"/>
      <c r="AKR13" s="4"/>
      <c r="AKS13" s="4"/>
      <c r="AKT13" s="4"/>
      <c r="AKU13" s="4"/>
      <c r="AKV13" s="4"/>
      <c r="AKW13" s="4"/>
      <c r="AKX13" s="4"/>
      <c r="AKY13" s="4"/>
      <c r="AKZ13" s="4"/>
      <c r="ALA13" s="4"/>
      <c r="ALB13" s="4"/>
      <c r="ALC13" s="4"/>
      <c r="ALD13" s="4"/>
      <c r="ALE13" s="4"/>
      <c r="ALF13" s="4"/>
      <c r="ALG13" s="4"/>
      <c r="ALH13" s="4"/>
      <c r="ALI13" s="4"/>
      <c r="ALJ13" s="4"/>
      <c r="ALK13" s="4"/>
      <c r="ALL13" s="4"/>
      <c r="ALM13" s="4"/>
      <c r="ALN13" s="4"/>
      <c r="ALO13" s="4"/>
      <c r="ALP13" s="4"/>
      <c r="ALQ13" s="4"/>
      <c r="ALR13" s="4"/>
      <c r="ALS13" s="4"/>
      <c r="ALT13" s="4"/>
      <c r="ALU13" s="4"/>
      <c r="ALV13" s="4"/>
      <c r="ALW13" s="4"/>
      <c r="ALX13" s="4"/>
      <c r="ALY13" s="4"/>
      <c r="ALZ13" s="4"/>
      <c r="AMA13" s="4"/>
      <c r="AMB13" s="4"/>
      <c r="AMC13" s="4"/>
      <c r="AMD13" s="4"/>
      <c r="AME13" s="4"/>
      <c r="AMF13" s="4"/>
      <c r="AMG13" s="4"/>
      <c r="AMH13" s="4"/>
      <c r="AMI13" s="4"/>
      <c r="AMJ13" s="4"/>
    </row>
    <row r="14" s="109" customFormat="true" ht="17.25" hidden="false" customHeight="true" outlineLevel="0" collapsed="false">
      <c r="B14" s="151" t="s">
        <v>136</v>
      </c>
      <c r="C14" s="151"/>
      <c r="D14" s="151"/>
      <c r="E14" s="151"/>
      <c r="F14" s="151"/>
      <c r="G14" s="151"/>
      <c r="H14" s="151"/>
      <c r="I14" s="151"/>
      <c r="K14" s="105"/>
      <c r="L14" s="105"/>
    </row>
    <row r="15" customFormat="false" ht="17.25" hidden="false" customHeight="true" outlineLevel="0" collapsed="false">
      <c r="B15" s="151"/>
      <c r="C15" s="151"/>
      <c r="D15" s="151"/>
      <c r="E15" s="151"/>
      <c r="F15" s="151"/>
      <c r="G15" s="151"/>
      <c r="H15" s="151"/>
      <c r="I15" s="151"/>
      <c r="J15" s="4"/>
      <c r="K15" s="162" t="s">
        <v>137</v>
      </c>
      <c r="L15" s="162"/>
    </row>
    <row r="16" customFormat="false" ht="23.1" hidden="false" customHeight="true" outlineLevel="0" collapsed="false">
      <c r="B16" s="162" t="s">
        <v>138</v>
      </c>
      <c r="C16" s="162"/>
      <c r="D16" s="162"/>
      <c r="E16" s="163" t="n">
        <v>0</v>
      </c>
      <c r="F16" s="164" t="s">
        <v>139</v>
      </c>
      <c r="G16" s="164"/>
      <c r="H16" s="164"/>
      <c r="I16" s="165" t="n">
        <f aca="false">1-E16</f>
        <v>1</v>
      </c>
      <c r="J16" s="4"/>
      <c r="K16" s="162"/>
      <c r="L16" s="162"/>
    </row>
    <row r="17" customFormat="false" ht="23.1" hidden="false" customHeight="true" outlineLevel="0" collapsed="false">
      <c r="B17" s="162"/>
      <c r="C17" s="162"/>
      <c r="D17" s="162"/>
      <c r="E17" s="163"/>
      <c r="F17" s="164"/>
      <c r="G17" s="164"/>
      <c r="H17" s="164"/>
      <c r="I17" s="165"/>
      <c r="J17" s="4"/>
      <c r="K17" s="152" t="s">
        <v>140</v>
      </c>
      <c r="L17" s="152" t="s">
        <v>107</v>
      </c>
    </row>
    <row r="18" customFormat="false" ht="17.25" hidden="false" customHeight="true" outlineLevel="0" collapsed="false">
      <c r="B18" s="4"/>
      <c r="C18" s="4"/>
      <c r="D18" s="4"/>
      <c r="E18" s="4"/>
      <c r="F18" s="4"/>
      <c r="G18" s="4"/>
      <c r="H18" s="4"/>
      <c r="I18" s="4"/>
      <c r="J18" s="4"/>
      <c r="K18" s="159" t="n">
        <v>68.3</v>
      </c>
      <c r="L18" s="166" t="n">
        <f aca="false">K18*50/61</f>
        <v>55.9836065573771</v>
      </c>
    </row>
    <row r="19" customFormat="false" ht="17.25" hidden="false" customHeight="true" outlineLevel="0" collapsed="false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customFormat="false" ht="21.6" hidden="false" customHeight="true" outlineLevel="0" collapsed="false">
      <c r="B20" s="151" t="s">
        <v>141</v>
      </c>
      <c r="C20" s="151"/>
      <c r="D20" s="151"/>
      <c r="E20" s="151"/>
      <c r="F20" s="151"/>
      <c r="G20" s="151"/>
      <c r="H20" s="151"/>
      <c r="I20" s="151"/>
      <c r="J20" s="151"/>
      <c r="K20" s="151"/>
      <c r="L20" s="151"/>
    </row>
    <row r="21" customFormat="false" ht="21.6" hidden="false" customHeight="true" outlineLevel="0" collapsed="false"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</row>
    <row r="22" customFormat="false" ht="23.1" hidden="false" customHeight="true" outlineLevel="0" collapsed="false">
      <c r="B22" s="152" t="s">
        <v>41</v>
      </c>
      <c r="C22" s="152" t="s">
        <v>42</v>
      </c>
      <c r="D22" s="152" t="s">
        <v>40</v>
      </c>
      <c r="E22" s="152" t="s">
        <v>127</v>
      </c>
      <c r="F22" s="152" t="s">
        <v>38</v>
      </c>
      <c r="G22" s="152" t="s">
        <v>128</v>
      </c>
      <c r="H22" s="152" t="s">
        <v>129</v>
      </c>
      <c r="I22" s="152" t="s">
        <v>130</v>
      </c>
      <c r="J22" s="152"/>
      <c r="K22" s="152" t="s">
        <v>131</v>
      </c>
      <c r="L22" s="152" t="s">
        <v>132</v>
      </c>
    </row>
    <row r="23" customFormat="false" ht="25.15" hidden="false" customHeight="true" outlineLevel="0" collapsed="false">
      <c r="B23" s="166" t="n">
        <f aca="false">$E$16*B5+(1-$E$16)*B11</f>
        <v>0</v>
      </c>
      <c r="C23" s="166" t="n">
        <f aca="false">$E$16*C5+(1-$E$16)*C11</f>
        <v>0</v>
      </c>
      <c r="D23" s="166" t="n">
        <f aca="false">$E$16*D5+(1-$E$16)*D11</f>
        <v>0</v>
      </c>
      <c r="E23" s="166" t="n">
        <f aca="false">$E$16*E5+(1-$E$16)*E11</f>
        <v>0</v>
      </c>
      <c r="F23" s="166" t="n">
        <f aca="false">$E$16*F5+(1-$E$16)*F11</f>
        <v>0</v>
      </c>
      <c r="G23" s="166" t="n">
        <f aca="false">$E$16*G5+(1-$E$16)*G11</f>
        <v>0</v>
      </c>
      <c r="H23" s="166" t="n">
        <f aca="false">$E$16*H5+(1-$E$16)*H11</f>
        <v>0</v>
      </c>
      <c r="I23" s="166" t="n">
        <f aca="false">$E$16*I5+(1-$E$16)*I11</f>
        <v>0</v>
      </c>
      <c r="J23" s="167"/>
      <c r="K23" s="155" t="n">
        <f aca="false">B23/20.039+C23/12.153+D23/22.9898+E23/39.0983</f>
        <v>0</v>
      </c>
      <c r="L23" s="155" t="n">
        <f aca="false">F23/35.453+G23/48.0313+H23/62.0049+I23/50.0435</f>
        <v>0</v>
      </c>
    </row>
    <row r="24" customFormat="false" ht="17.35" hidden="false" customHeight="false" outlineLevel="0" collapsed="false">
      <c r="B24" s="156" t="s">
        <v>133</v>
      </c>
      <c r="C24" s="156"/>
      <c r="D24" s="156"/>
      <c r="E24" s="156"/>
      <c r="F24" s="157" t="s">
        <v>134</v>
      </c>
      <c r="G24" s="157"/>
      <c r="H24" s="157"/>
      <c r="I24" s="157"/>
      <c r="K24" s="158" t="str">
        <f aca="false">IF(AND(K23=0,L23=0),"Good Check",IF(K23=0,"Bad Check",IF(ABS(1-(L23/K23))&lt;=0.03,"Good Check","Bad Check")))</f>
        <v>Good Check</v>
      </c>
      <c r="L24" s="158"/>
    </row>
  </sheetData>
  <sheetProtection sheet="true" password="d3f5" objects="true" scenarios="true" selectLockedCells="true"/>
  <mergeCells count="18">
    <mergeCell ref="B2:L3"/>
    <mergeCell ref="B6:E6"/>
    <mergeCell ref="F6:I6"/>
    <mergeCell ref="K6:L6"/>
    <mergeCell ref="B8:L9"/>
    <mergeCell ref="B12:E12"/>
    <mergeCell ref="F12:I12"/>
    <mergeCell ref="K12:L12"/>
    <mergeCell ref="B14:I15"/>
    <mergeCell ref="K15:L16"/>
    <mergeCell ref="B16:D17"/>
    <mergeCell ref="E16:E17"/>
    <mergeCell ref="F16:H17"/>
    <mergeCell ref="I16:I17"/>
    <mergeCell ref="B20:L21"/>
    <mergeCell ref="B24:E24"/>
    <mergeCell ref="F24:I24"/>
    <mergeCell ref="K24:L24"/>
  </mergeCells>
  <conditionalFormatting sqref="K12 K6 K24">
    <cfRule type="cellIs" priority="2" operator="equal" aboveAverage="0" equalAverage="0" bottom="0" percent="0" rank="0" text="" dxfId="27">
      <formula>"Good Check"</formula>
    </cfRule>
  </conditionalFormatting>
  <conditionalFormatting sqref="K12 K6 K24">
    <cfRule type="cellIs" priority="3" operator="equal" aboveAverage="0" equalAverage="0" bottom="0" percent="0" rank="0" text="" dxfId="28">
      <formula>"Bad Check"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1:N26"/>
  <sheetViews>
    <sheetView showFormulas="false" showGridLines="false" showRowColHeaders="false" showZeros="true" rightToLeft="false" tabSelected="false" showOutlineSymbols="false" defaultGridColor="true" view="normal" topLeftCell="A1" colorId="64" zoomScale="68" zoomScaleNormal="68" zoomScalePageLayoutView="100" workbookViewId="0">
      <selection pane="topLeft" activeCell="I11" activeCellId="0" sqref="I11"/>
    </sheetView>
  </sheetViews>
  <sheetFormatPr defaultColWidth="15.2890625" defaultRowHeight="12.8" zeroHeight="false" outlineLevelRow="0" outlineLevelCol="0"/>
  <cols>
    <col collapsed="false" customWidth="false" hidden="false" outlineLevel="0" max="10" min="1" style="122" width="15.27"/>
    <col collapsed="false" customWidth="true" hidden="false" outlineLevel="0" max="11" min="11" style="122" width="16.2"/>
    <col collapsed="false" customWidth="false" hidden="false" outlineLevel="0" max="1024" min="12" style="122" width="15.27"/>
  </cols>
  <sheetData>
    <row r="1" customFormat="false" ht="12.8" hidden="false" customHeight="false" outlineLevel="0" collapsed="false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customFormat="false" ht="12.8" hidden="false" customHeight="false" outlineLevel="0" collapsed="false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customFormat="false" ht="21.6" hidden="false" customHeight="true" outlineLevel="0" collapsed="false">
      <c r="B3" s="168"/>
      <c r="C3" s="168"/>
      <c r="D3" s="169" t="s">
        <v>142</v>
      </c>
      <c r="E3" s="169"/>
      <c r="F3" s="169"/>
      <c r="G3" s="169"/>
      <c r="H3" s="169"/>
      <c r="I3" s="169"/>
      <c r="J3" s="168"/>
      <c r="K3" s="168"/>
      <c r="L3" s="168"/>
      <c r="M3" s="168"/>
      <c r="N3" s="168"/>
    </row>
    <row r="4" customFormat="false" ht="21.6" hidden="false" customHeight="true" outlineLevel="0" collapsed="false">
      <c r="B4" s="168"/>
      <c r="C4" s="170"/>
      <c r="D4" s="169"/>
      <c r="E4" s="169"/>
      <c r="F4" s="169"/>
      <c r="G4" s="169"/>
      <c r="H4" s="169"/>
      <c r="I4" s="169"/>
      <c r="J4" s="168"/>
      <c r="K4" s="168"/>
      <c r="L4" s="168"/>
      <c r="M4" s="168"/>
      <c r="N4" s="168"/>
    </row>
    <row r="5" customFormat="false" ht="21.6" hidden="false" customHeight="true" outlineLevel="0" collapsed="false">
      <c r="B5" s="168"/>
      <c r="C5" s="170"/>
      <c r="D5" s="170"/>
      <c r="E5" s="170"/>
      <c r="F5" s="170"/>
      <c r="G5" s="170"/>
      <c r="H5" s="170"/>
      <c r="I5" s="170"/>
      <c r="J5" s="168"/>
      <c r="K5" s="168"/>
      <c r="L5" s="168"/>
      <c r="M5" s="168"/>
      <c r="N5" s="168"/>
    </row>
    <row r="6" customFormat="false" ht="21.6" hidden="false" customHeight="true" outlineLevel="0" collapsed="false">
      <c r="B6" s="168"/>
      <c r="C6" s="170"/>
      <c r="D6" s="170" t="s">
        <v>143</v>
      </c>
      <c r="E6" s="170" t="s">
        <v>144</v>
      </c>
      <c r="F6" s="170" t="s">
        <v>144</v>
      </c>
      <c r="G6" s="170" t="s">
        <v>145</v>
      </c>
      <c r="H6" s="170" t="s">
        <v>146</v>
      </c>
      <c r="I6" s="171" t="s">
        <v>146</v>
      </c>
      <c r="J6" s="168"/>
      <c r="K6" s="172"/>
      <c r="L6" s="172"/>
      <c r="M6" s="168"/>
      <c r="N6" s="168"/>
    </row>
    <row r="7" customFormat="false" ht="21.6" hidden="false" customHeight="true" outlineLevel="0" collapsed="false">
      <c r="B7" s="168"/>
      <c r="C7" s="170"/>
      <c r="D7" s="170" t="s">
        <v>146</v>
      </c>
      <c r="E7" s="170" t="s">
        <v>147</v>
      </c>
      <c r="F7" s="170" t="s">
        <v>148</v>
      </c>
      <c r="G7" s="170" t="s">
        <v>147</v>
      </c>
      <c r="H7" s="170" t="s">
        <v>147</v>
      </c>
      <c r="I7" s="171" t="s">
        <v>149</v>
      </c>
      <c r="J7" s="168"/>
      <c r="K7" s="173"/>
      <c r="L7" s="174"/>
      <c r="M7" s="168"/>
      <c r="N7" s="168"/>
    </row>
    <row r="8" customFormat="false" ht="21.6" hidden="false" customHeight="true" outlineLevel="0" collapsed="false">
      <c r="B8" s="168"/>
      <c r="C8" s="170"/>
      <c r="D8" s="170" t="s">
        <v>150</v>
      </c>
      <c r="E8" s="170" t="s">
        <v>151</v>
      </c>
      <c r="F8" s="170" t="s">
        <v>152</v>
      </c>
      <c r="G8" s="170" t="s">
        <v>153</v>
      </c>
      <c r="H8" s="170" t="s">
        <v>153</v>
      </c>
      <c r="I8" s="171" t="s">
        <v>154</v>
      </c>
      <c r="J8" s="168"/>
      <c r="K8" s="175"/>
      <c r="L8" s="175"/>
      <c r="M8" s="168"/>
      <c r="N8" s="168"/>
    </row>
    <row r="9" customFormat="false" ht="21.6" hidden="false" customHeight="true" outlineLevel="0" collapsed="false">
      <c r="B9" s="168"/>
      <c r="C9" s="170"/>
      <c r="D9" s="176"/>
      <c r="E9" s="176"/>
      <c r="F9" s="176"/>
      <c r="G9" s="176"/>
      <c r="H9" s="176"/>
      <c r="I9" s="176"/>
      <c r="J9" s="168"/>
      <c r="K9" s="177"/>
      <c r="L9" s="175"/>
      <c r="M9" s="168"/>
      <c r="N9" s="168"/>
    </row>
    <row r="10" customFormat="false" ht="21.6" hidden="false" customHeight="true" outlineLevel="0" collapsed="false">
      <c r="B10" s="168"/>
      <c r="C10" s="170"/>
      <c r="D10" s="170"/>
      <c r="E10" s="170"/>
      <c r="F10" s="170"/>
      <c r="G10" s="170"/>
      <c r="H10" s="170"/>
      <c r="I10" s="170"/>
      <c r="J10" s="168"/>
      <c r="K10" s="168"/>
      <c r="L10" s="168"/>
      <c r="M10" s="168"/>
      <c r="N10" s="168"/>
    </row>
    <row r="11" customFormat="false" ht="21.6" hidden="false" customHeight="true" outlineLevel="0" collapsed="false">
      <c r="B11" s="168"/>
      <c r="C11" s="170"/>
      <c r="D11" s="171" t="n">
        <f aca="false">'Mash pH'!M22</f>
        <v>6.5</v>
      </c>
      <c r="E11" s="178" t="n">
        <f aca="false">'Mash pH'!D7</f>
        <v>1.9</v>
      </c>
      <c r="F11" s="178" t="n">
        <f aca="false">'Mash pH'!E7</f>
        <v>12</v>
      </c>
      <c r="G11" s="179" t="n">
        <f aca="false">E11*F11/$D$11</f>
        <v>3.50769230769231</v>
      </c>
      <c r="H11" s="179" t="n">
        <f aca="false">SUM(G11:G19)</f>
        <v>3.50769230769231</v>
      </c>
      <c r="I11" s="73" t="n">
        <f aca="false">1.4922*(H11^0.6859)</f>
        <v>3.52904564734762</v>
      </c>
      <c r="J11" s="168"/>
      <c r="K11" s="168"/>
      <c r="L11" s="168"/>
      <c r="M11" s="168"/>
      <c r="N11" s="168"/>
    </row>
    <row r="12" customFormat="false" ht="21.6" hidden="false" customHeight="true" outlineLevel="0" collapsed="false">
      <c r="B12" s="168"/>
      <c r="C12" s="170"/>
      <c r="D12" s="170"/>
      <c r="E12" s="178" t="n">
        <f aca="false">'Mash pH'!D8</f>
        <v>0</v>
      </c>
      <c r="F12" s="178" t="n">
        <f aca="false">'Mash pH'!E8</f>
        <v>0</v>
      </c>
      <c r="G12" s="179" t="n">
        <f aca="false">E12*F12/$D$11</f>
        <v>0</v>
      </c>
      <c r="H12" s="180"/>
      <c r="I12" s="4"/>
      <c r="J12" s="168"/>
      <c r="K12" s="168"/>
      <c r="L12" s="168"/>
      <c r="M12" s="168"/>
      <c r="N12" s="168"/>
    </row>
    <row r="13" customFormat="false" ht="21.6" hidden="false" customHeight="true" outlineLevel="0" collapsed="false">
      <c r="B13" s="168"/>
      <c r="C13" s="170"/>
      <c r="D13" s="170"/>
      <c r="E13" s="178" t="n">
        <f aca="false">'Mash pH'!D9</f>
        <v>0</v>
      </c>
      <c r="F13" s="178" t="n">
        <f aca="false">'Mash pH'!E9</f>
        <v>0</v>
      </c>
      <c r="G13" s="179" t="n">
        <f aca="false">E13*F13/$D$11</f>
        <v>0</v>
      </c>
      <c r="H13" s="170"/>
      <c r="I13" s="4"/>
      <c r="J13" s="168"/>
      <c r="K13" s="168"/>
      <c r="L13" s="168"/>
      <c r="M13" s="168"/>
      <c r="N13" s="168"/>
    </row>
    <row r="14" customFormat="false" ht="21.6" hidden="false" customHeight="true" outlineLevel="0" collapsed="false">
      <c r="B14" s="168"/>
      <c r="C14" s="170"/>
      <c r="D14" s="170"/>
      <c r="E14" s="178" t="n">
        <f aca="false">'Mash pH'!D10</f>
        <v>0</v>
      </c>
      <c r="F14" s="178" t="n">
        <f aca="false">'Mash pH'!E10</f>
        <v>0</v>
      </c>
      <c r="G14" s="179" t="n">
        <f aca="false">E14*F14/$D$11</f>
        <v>0</v>
      </c>
      <c r="H14" s="170"/>
      <c r="I14" s="170"/>
      <c r="J14" s="4"/>
      <c r="K14" s="168"/>
      <c r="L14" s="168"/>
      <c r="M14" s="168"/>
      <c r="N14" s="168"/>
    </row>
    <row r="15" customFormat="false" ht="21.6" hidden="false" customHeight="true" outlineLevel="0" collapsed="false">
      <c r="B15" s="168"/>
      <c r="C15" s="170"/>
      <c r="D15" s="170"/>
      <c r="E15" s="178" t="n">
        <f aca="false">'Mash pH'!D11</f>
        <v>0</v>
      </c>
      <c r="F15" s="178" t="n">
        <f aca="false">'Mash pH'!E11</f>
        <v>0</v>
      </c>
      <c r="G15" s="179" t="n">
        <f aca="false">E15*F15/$D$11</f>
        <v>0</v>
      </c>
      <c r="H15" s="170"/>
      <c r="I15" s="170"/>
      <c r="J15" s="168"/>
      <c r="K15" s="168"/>
      <c r="L15" s="168"/>
      <c r="M15" s="168"/>
      <c r="N15" s="168"/>
    </row>
    <row r="16" customFormat="false" ht="21.6" hidden="false" customHeight="true" outlineLevel="0" collapsed="false">
      <c r="B16" s="168"/>
      <c r="C16" s="170"/>
      <c r="D16" s="170"/>
      <c r="E16" s="178" t="n">
        <f aca="false">'Mash pH'!D12</f>
        <v>0</v>
      </c>
      <c r="F16" s="178" t="n">
        <f aca="false">'Mash pH'!E12</f>
        <v>0</v>
      </c>
      <c r="G16" s="179" t="n">
        <f aca="false">E16*F16/$D$11</f>
        <v>0</v>
      </c>
      <c r="H16" s="170"/>
      <c r="I16" s="170"/>
      <c r="J16" s="168"/>
      <c r="K16" s="168"/>
      <c r="L16" s="168"/>
      <c r="M16" s="168"/>
      <c r="N16" s="168"/>
    </row>
    <row r="17" customFormat="false" ht="21.6" hidden="false" customHeight="true" outlineLevel="0" collapsed="false">
      <c r="B17" s="168"/>
      <c r="C17" s="170"/>
      <c r="D17" s="170"/>
      <c r="E17" s="178" t="n">
        <f aca="false">'Mash pH'!D13</f>
        <v>0</v>
      </c>
      <c r="F17" s="178" t="n">
        <f aca="false">'Mash pH'!E13</f>
        <v>0</v>
      </c>
      <c r="G17" s="179" t="n">
        <f aca="false">E17*F17/$D$11</f>
        <v>0</v>
      </c>
      <c r="H17" s="170"/>
      <c r="I17" s="170"/>
      <c r="J17" s="168"/>
      <c r="K17" s="168"/>
      <c r="L17" s="168"/>
      <c r="M17" s="168"/>
      <c r="N17" s="168"/>
    </row>
    <row r="18" customFormat="false" ht="21.6" hidden="false" customHeight="true" outlineLevel="0" collapsed="false">
      <c r="B18" s="168"/>
      <c r="C18" s="170"/>
      <c r="D18" s="170"/>
      <c r="E18" s="178" t="n">
        <f aca="false">'Mash pH'!D14</f>
        <v>0</v>
      </c>
      <c r="F18" s="178" t="n">
        <f aca="false">'Mash pH'!E14</f>
        <v>0</v>
      </c>
      <c r="G18" s="179" t="n">
        <f aca="false">E18*F18/$D$11</f>
        <v>0</v>
      </c>
      <c r="H18" s="170"/>
      <c r="I18" s="170"/>
      <c r="J18" s="168"/>
      <c r="K18" s="168"/>
      <c r="L18" s="168"/>
      <c r="M18" s="168"/>
      <c r="N18" s="168"/>
    </row>
    <row r="19" customFormat="false" ht="21.6" hidden="false" customHeight="true" outlineLevel="0" collapsed="false">
      <c r="B19" s="168"/>
      <c r="C19" s="170"/>
      <c r="D19" s="170"/>
      <c r="E19" s="178" t="n">
        <f aca="false">'Mash pH'!D15</f>
        <v>0</v>
      </c>
      <c r="F19" s="178" t="n">
        <f aca="false">'Mash pH'!E15</f>
        <v>0</v>
      </c>
      <c r="G19" s="179" t="n">
        <f aca="false">E19*F19/$D$11</f>
        <v>0</v>
      </c>
      <c r="H19" s="170"/>
      <c r="I19" s="170"/>
      <c r="J19" s="168"/>
      <c r="K19" s="168"/>
      <c r="L19" s="168"/>
      <c r="M19" s="168"/>
      <c r="N19" s="168"/>
    </row>
    <row r="20" customFormat="false" ht="21.6" hidden="false" customHeight="true" outlineLevel="0" collapsed="false">
      <c r="B20" s="168"/>
      <c r="C20" s="170"/>
      <c r="D20" s="170"/>
      <c r="E20" s="170"/>
      <c r="F20" s="170"/>
      <c r="G20" s="170"/>
      <c r="H20" s="170"/>
      <c r="I20" s="170"/>
      <c r="J20" s="168"/>
      <c r="K20" s="168"/>
      <c r="L20" s="168"/>
      <c r="M20" s="168"/>
      <c r="N20" s="168"/>
    </row>
    <row r="21" customFormat="false" ht="21.6" hidden="false" customHeight="true" outlineLevel="0" collapsed="false">
      <c r="B21" s="168"/>
      <c r="C21" s="181" t="s">
        <v>155</v>
      </c>
      <c r="D21" s="181"/>
      <c r="E21" s="170"/>
      <c r="F21" s="182" t="n">
        <f aca="false">'Mash pH'!E16</f>
        <v>12</v>
      </c>
      <c r="G21" s="170"/>
      <c r="H21" s="170"/>
      <c r="I21" s="170"/>
      <c r="J21" s="168"/>
      <c r="K21" s="168"/>
      <c r="L21" s="168"/>
      <c r="M21" s="168"/>
      <c r="N21" s="168"/>
    </row>
    <row r="22" customFormat="false" ht="21.6" hidden="false" customHeight="true" outlineLevel="0" collapsed="false">
      <c r="B22" s="168"/>
      <c r="C22" s="170"/>
      <c r="D22" s="170"/>
      <c r="E22" s="170"/>
      <c r="F22" s="170"/>
      <c r="G22" s="170"/>
      <c r="H22" s="170"/>
      <c r="I22" s="170"/>
      <c r="J22" s="168"/>
      <c r="K22" s="168"/>
      <c r="L22" s="168"/>
      <c r="M22" s="168"/>
      <c r="N22" s="168"/>
    </row>
    <row r="23" customFormat="false" ht="12.8" hidden="false" customHeight="false" outlineLevel="0" collapsed="false"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</row>
    <row r="24" customFormat="false" ht="12.8" hidden="false" customHeight="false" outlineLevel="0" collapsed="false"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</row>
    <row r="25" customFormat="false" ht="12.8" hidden="false" customHeight="false" outlineLevel="0" collapsed="false"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</row>
    <row r="26" customFormat="false" ht="12.8" hidden="false" customHeight="false" outlineLevel="0" collapsed="false"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</row>
  </sheetData>
  <sheetProtection sheet="true" password="d3f5" objects="true" scenarios="true"/>
  <mergeCells count="2">
    <mergeCell ref="D3:I4"/>
    <mergeCell ref="C21:D21"/>
  </mergeCells>
  <conditionalFormatting sqref="I11">
    <cfRule type="cellIs" priority="2" operator="lessThanOrEqual" aboveAverage="0" equalAverage="0" bottom="0" percent="0" rank="0" text="" dxfId="7">
      <formula>2</formula>
    </cfRule>
    <cfRule type="cellIs" priority="3" operator="lessThanOrEqual" aboveAverage="0" equalAverage="0" bottom="0" percent="0" rank="0" text="" dxfId="8">
      <formula>4</formula>
    </cfRule>
    <cfRule type="cellIs" priority="4" operator="lessThanOrEqual" aboveAverage="0" equalAverage="0" bottom="0" percent="0" rank="0" text="" dxfId="9">
      <formula>6</formula>
    </cfRule>
    <cfRule type="cellIs" priority="5" operator="lessThanOrEqual" aboveAverage="0" equalAverage="0" bottom="0" percent="0" rank="0" text="" dxfId="10">
      <formula>8</formula>
    </cfRule>
    <cfRule type="cellIs" priority="6" operator="lessThanOrEqual" aboveAverage="0" equalAverage="0" bottom="0" percent="0" rank="0" text="" dxfId="11">
      <formula>10</formula>
    </cfRule>
    <cfRule type="cellIs" priority="7" operator="lessThanOrEqual" aboveAverage="0" equalAverage="0" bottom="0" percent="0" rank="0" text="" dxfId="12">
      <formula>12</formula>
    </cfRule>
    <cfRule type="cellIs" priority="8" operator="lessThanOrEqual" aboveAverage="0" equalAverage="0" bottom="0" percent="0" rank="0" text="" dxfId="13">
      <formula>14</formula>
    </cfRule>
    <cfRule type="cellIs" priority="9" operator="lessThanOrEqual" aboveAverage="0" equalAverage="0" bottom="0" percent="0" rank="0" text="" dxfId="14">
      <formula>16</formula>
    </cfRule>
    <cfRule type="cellIs" priority="10" operator="lessThanOrEqual" aboveAverage="0" equalAverage="0" bottom="0" percent="0" rank="0" text="" dxfId="15">
      <formula>18</formula>
    </cfRule>
    <cfRule type="cellIs" priority="11" operator="lessThanOrEqual" aboveAverage="0" equalAverage="0" bottom="0" percent="0" rank="0" text="" dxfId="16">
      <formula>20</formula>
    </cfRule>
    <cfRule type="cellIs" priority="12" operator="lessThanOrEqual" aboveAverage="0" equalAverage="0" bottom="0" percent="0" rank="0" text="" dxfId="17">
      <formula>22</formula>
    </cfRule>
    <cfRule type="cellIs" priority="13" operator="lessThanOrEqual" aboveAverage="0" equalAverage="0" bottom="0" percent="0" rank="0" text="" dxfId="18">
      <formula>24</formula>
    </cfRule>
    <cfRule type="cellIs" priority="14" operator="lessThanOrEqual" aboveAverage="0" equalAverage="0" bottom="0" percent="0" rank="0" text="" dxfId="19">
      <formula>26</formula>
    </cfRule>
    <cfRule type="cellIs" priority="15" operator="lessThanOrEqual" aboveAverage="0" equalAverage="0" bottom="0" percent="0" rank="0" text="" dxfId="20">
      <formula>28</formula>
    </cfRule>
    <cfRule type="cellIs" priority="16" operator="lessThanOrEqual" aboveAverage="0" equalAverage="0" bottom="0" percent="0" rank="0" text="" dxfId="21">
      <formula>30</formula>
    </cfRule>
    <cfRule type="cellIs" priority="17" operator="lessThanOrEqual" aboveAverage="0" equalAverage="0" bottom="0" percent="0" rank="0" text="" dxfId="22">
      <formula>32</formula>
    </cfRule>
    <cfRule type="cellIs" priority="18" operator="lessThanOrEqual" aboveAverage="0" equalAverage="0" bottom="0" percent="0" rank="0" text="" dxfId="23">
      <formula>34</formula>
    </cfRule>
    <cfRule type="cellIs" priority="19" operator="lessThanOrEqual" aboveAverage="0" equalAverage="0" bottom="0" percent="0" rank="0" text="" dxfId="24">
      <formula>36</formula>
    </cfRule>
    <cfRule type="cellIs" priority="20" operator="lessThanOrEqual" aboveAverage="0" equalAverage="0" bottom="0" percent="0" rank="0" text="" dxfId="25">
      <formula>38</formula>
    </cfRule>
    <cfRule type="cellIs" priority="21" operator="greaterThan" aboveAverage="0" equalAverage="0" bottom="0" percent="0" rank="0" text="" dxfId="26">
      <formula>38</formula>
    </cfRule>
  </conditionalFormatting>
  <printOptions headings="false" gridLines="false" gridLinesSet="true" horizontalCentered="false" verticalCentered="false"/>
  <pageMargins left="0.7875" right="0.7875" top="1.025" bottom="1.025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5:Q22"/>
  <sheetViews>
    <sheetView showFormulas="false" showGridLines="false" showRowColHeaders="false" showZeros="true" rightToLeft="false" tabSelected="false" showOutlineSymbols="false" defaultGridColor="true" view="normal" topLeftCell="A4" colorId="64" zoomScale="97" zoomScaleNormal="97" zoomScalePageLayoutView="100" workbookViewId="0">
      <selection pane="topLeft" activeCell="Q22" activeCellId="0" sqref="Q22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83" width="4.29"/>
    <col collapsed="false" customWidth="true" hidden="false" outlineLevel="0" max="3" min="2" style="183" width="10.88"/>
    <col collapsed="false" customWidth="true" hidden="false" outlineLevel="0" max="4" min="4" style="183" width="12.13"/>
    <col collapsed="false" customWidth="true" hidden="false" outlineLevel="0" max="5" min="5" style="183" width="10.88"/>
    <col collapsed="false" customWidth="true" hidden="false" outlineLevel="0" max="6" min="6" style="183" width="13.65"/>
    <col collapsed="false" customWidth="true" hidden="false" outlineLevel="0" max="7" min="7" style="183" width="12.42"/>
    <col collapsed="false" customWidth="true" hidden="false" outlineLevel="0" max="8" min="8" style="183" width="10.88"/>
    <col collapsed="false" customWidth="true" hidden="false" outlineLevel="0" max="9" min="9" style="183" width="13.37"/>
    <col collapsed="false" customWidth="true" hidden="false" outlineLevel="0" max="10" min="10" style="183" width="12.13"/>
    <col collapsed="false" customWidth="true" hidden="false" outlineLevel="0" max="11" min="11" style="183" width="10.88"/>
    <col collapsed="false" customWidth="true" hidden="false" outlineLevel="0" max="12" min="12" style="183" width="12.42"/>
    <col collapsed="false" customWidth="true" hidden="false" outlineLevel="0" max="13" min="13" style="183" width="10.88"/>
    <col collapsed="false" customWidth="true" hidden="false" outlineLevel="0" max="15" min="14" style="183" width="10.46"/>
    <col collapsed="false" customWidth="true" hidden="false" outlineLevel="0" max="17" min="16" style="183" width="11.3"/>
    <col collapsed="false" customWidth="false" hidden="false" outlineLevel="0" max="1020" min="18" style="183" width="11.52"/>
    <col collapsed="false" customWidth="false" hidden="false" outlineLevel="0" max="1024" min="1021" style="184" width="11.52"/>
  </cols>
  <sheetData>
    <row r="5" customFormat="false" ht="12.8" hidden="false" customHeight="false" outlineLevel="0" collapsed="false">
      <c r="J5" s="183" t="s">
        <v>156</v>
      </c>
      <c r="K5" s="185" t="n">
        <f aca="false">IF(AND('Mash pH'!R23="Mash Only",'Mash pH'!R24="Mineral Free"),1,IF(AND('Mash pH'!R23="Mash &amp; Sparge",'Mash pH'!R24="Mineral Free"),2,IF(AND('Mash pH'!R23="Mash Only",'Mash pH'!R24="Blended H2O"),3,IF(AND('Mash pH'!R23="Mash &amp; Sparge",'Mash pH'!R24="Blended H2O"),4))))</f>
        <v>0</v>
      </c>
    </row>
    <row r="7" customFormat="false" ht="12.8" hidden="false" customHeight="false" outlineLevel="0" collapsed="false">
      <c r="C7" s="183" t="s">
        <v>157</v>
      </c>
      <c r="D7" s="183" t="s">
        <v>158</v>
      </c>
      <c r="E7" s="183" t="s">
        <v>159</v>
      </c>
    </row>
    <row r="8" customFormat="false" ht="12.8" hidden="false" customHeight="false" outlineLevel="0" collapsed="false">
      <c r="C8" s="183" t="s">
        <v>160</v>
      </c>
      <c r="D8" s="183" t="s">
        <v>160</v>
      </c>
      <c r="E8" s="183" t="s">
        <v>160</v>
      </c>
    </row>
    <row r="9" customFormat="false" ht="12.8" hidden="false" customHeight="false" outlineLevel="0" collapsed="false">
      <c r="N9" s="183" t="n">
        <v>1</v>
      </c>
      <c r="O9" s="183" t="n">
        <v>2</v>
      </c>
      <c r="P9" s="183" t="n">
        <v>3</v>
      </c>
      <c r="Q9" s="183" t="n">
        <v>4</v>
      </c>
    </row>
    <row r="10" customFormat="false" ht="12.8" hidden="false" customHeight="false" outlineLevel="0" collapsed="false">
      <c r="C10" s="186" t="n">
        <f aca="false">'Mash pH'!M14*3.7854</f>
        <v>33.69006</v>
      </c>
      <c r="D10" s="186" t="n">
        <f aca="false">'Mash pH'!N14*3.7854</f>
        <v>0</v>
      </c>
      <c r="E10" s="183" t="n">
        <f aca="false">C10+D10</f>
        <v>33.69006</v>
      </c>
    </row>
    <row r="11" customFormat="false" ht="12.8" hidden="false" customHeight="false" outlineLevel="0" collapsed="false">
      <c r="N11" s="183" t="s">
        <v>161</v>
      </c>
      <c r="O11" s="183" t="s">
        <v>161</v>
      </c>
    </row>
    <row r="12" customFormat="false" ht="12.8" hidden="false" customHeight="false" outlineLevel="0" collapsed="false">
      <c r="E12" s="187"/>
      <c r="F12" s="187"/>
      <c r="G12" s="187"/>
      <c r="H12" s="187"/>
      <c r="I12" s="187"/>
      <c r="J12" s="187"/>
      <c r="K12" s="187"/>
      <c r="L12" s="187"/>
      <c r="M12" s="187"/>
      <c r="N12" s="183" t="s">
        <v>162</v>
      </c>
      <c r="O12" s="183" t="s">
        <v>162</v>
      </c>
      <c r="P12" s="183" t="s">
        <v>163</v>
      </c>
      <c r="Q12" s="183" t="s">
        <v>163</v>
      </c>
    </row>
    <row r="13" customFormat="false" ht="12.8" hidden="false" customHeight="false" outlineLevel="0" collapsed="false">
      <c r="C13" s="183" t="s">
        <v>164</v>
      </c>
      <c r="D13" s="183" t="s">
        <v>165</v>
      </c>
      <c r="E13" s="187" t="s">
        <v>157</v>
      </c>
      <c r="F13" s="187" t="s">
        <v>165</v>
      </c>
      <c r="G13" s="187" t="s">
        <v>165</v>
      </c>
      <c r="H13" s="187" t="s">
        <v>165</v>
      </c>
      <c r="I13" s="187" t="s">
        <v>157</v>
      </c>
      <c r="J13" s="187" t="s">
        <v>158</v>
      </c>
      <c r="K13" s="187" t="s">
        <v>158</v>
      </c>
      <c r="L13" s="187" t="s">
        <v>158</v>
      </c>
      <c r="M13" s="187" t="s">
        <v>158</v>
      </c>
      <c r="N13" s="183" t="s">
        <v>166</v>
      </c>
      <c r="O13" s="183" t="s">
        <v>166</v>
      </c>
      <c r="P13" s="183" t="s">
        <v>166</v>
      </c>
      <c r="Q13" s="183" t="s">
        <v>166</v>
      </c>
    </row>
    <row r="14" customFormat="false" ht="12.8" hidden="false" customHeight="false" outlineLevel="0" collapsed="false">
      <c r="C14" s="183" t="s">
        <v>167</v>
      </c>
      <c r="D14" s="183" t="s">
        <v>167</v>
      </c>
      <c r="E14" s="187" t="s">
        <v>167</v>
      </c>
      <c r="F14" s="187" t="s">
        <v>167</v>
      </c>
      <c r="G14" s="187" t="s">
        <v>167</v>
      </c>
      <c r="H14" s="187" t="s">
        <v>167</v>
      </c>
      <c r="I14" s="187" t="s">
        <v>168</v>
      </c>
      <c r="J14" s="183" t="s">
        <v>167</v>
      </c>
      <c r="K14" s="187" t="s">
        <v>167</v>
      </c>
      <c r="L14" s="187" t="s">
        <v>167</v>
      </c>
      <c r="M14" s="187" t="s">
        <v>167</v>
      </c>
      <c r="N14" s="183" t="s">
        <v>157</v>
      </c>
      <c r="O14" s="183" t="s">
        <v>169</v>
      </c>
      <c r="P14" s="183" t="s">
        <v>157</v>
      </c>
      <c r="Q14" s="183" t="s">
        <v>169</v>
      </c>
    </row>
    <row r="15" customFormat="false" ht="12.8" hidden="false" customHeight="false" outlineLevel="0" collapsed="false">
      <c r="D15" s="183" t="s">
        <v>170</v>
      </c>
      <c r="E15" s="183" t="s">
        <v>171</v>
      </c>
      <c r="F15" s="183" t="s">
        <v>172</v>
      </c>
      <c r="G15" s="183" t="s">
        <v>173</v>
      </c>
      <c r="H15" s="183" t="s">
        <v>174</v>
      </c>
      <c r="I15" s="183" t="s">
        <v>175</v>
      </c>
      <c r="J15" s="183" t="s">
        <v>170</v>
      </c>
      <c r="K15" s="183" t="s">
        <v>171</v>
      </c>
      <c r="L15" s="183" t="s">
        <v>173</v>
      </c>
      <c r="M15" s="183" t="s">
        <v>174</v>
      </c>
      <c r="N15" s="183" t="s">
        <v>176</v>
      </c>
      <c r="O15" s="183" t="s">
        <v>158</v>
      </c>
      <c r="P15" s="183" t="s">
        <v>176</v>
      </c>
      <c r="Q15" s="183" t="s">
        <v>158</v>
      </c>
    </row>
    <row r="16" customFormat="false" ht="12.8" hidden="false" customHeight="false" outlineLevel="0" collapsed="false">
      <c r="D16" s="183" t="s">
        <v>177</v>
      </c>
      <c r="E16" s="183" t="s">
        <v>177</v>
      </c>
      <c r="F16" s="183" t="s">
        <v>177</v>
      </c>
      <c r="G16" s="183" t="s">
        <v>177</v>
      </c>
      <c r="H16" s="183" t="s">
        <v>177</v>
      </c>
      <c r="I16" s="183" t="s">
        <v>177</v>
      </c>
      <c r="J16" s="183" t="s">
        <v>177</v>
      </c>
      <c r="K16" s="183" t="s">
        <v>177</v>
      </c>
      <c r="L16" s="183" t="s">
        <v>177</v>
      </c>
      <c r="M16" s="183" t="s">
        <v>177</v>
      </c>
    </row>
    <row r="18" customFormat="false" ht="12.8" hidden="false" customHeight="false" outlineLevel="0" collapsed="false">
      <c r="B18" s="183" t="s">
        <v>109</v>
      </c>
      <c r="C18" s="188" t="n">
        <f aca="false">Water!B23</f>
        <v>0</v>
      </c>
      <c r="D18" s="186" t="n">
        <f aca="false">IFERROR('Mash pH'!M6*3.7854*61.4942/C10,0)</f>
        <v>13.8189213483146</v>
      </c>
      <c r="E18" s="186" t="n">
        <f aca="false">IFERROR('CaCl2 Selector'!I10,0)</f>
        <v>36.4028764044944</v>
      </c>
      <c r="F18" s="189" t="n">
        <f aca="false">IFERROR('Mash pH'!R6*1000*40.078/74.0923/C10,0)</f>
        <v>0</v>
      </c>
      <c r="H18" s="186"/>
      <c r="J18" s="186" t="n">
        <f aca="false">IFERROR('Mash pH'!M10*61.4942/D10*3.7854,0)</f>
        <v>0</v>
      </c>
      <c r="K18" s="186" t="n">
        <f aca="false">IFERROR('CaCl2 Selector'!I11,0)</f>
        <v>0</v>
      </c>
      <c r="N18" s="186" t="n">
        <f aca="false">(D18+E18+F18)*C10/(C10+D10)</f>
        <v>50.221797752809</v>
      </c>
      <c r="O18" s="186" t="n">
        <f aca="false">((D18+E18+F18)*C10+(J18+K18)*D10)/(C10+D10)</f>
        <v>50.221797752809</v>
      </c>
      <c r="P18" s="186" t="n">
        <f aca="false">C18+N18</f>
        <v>50.221797752809</v>
      </c>
      <c r="Q18" s="186" t="n">
        <f aca="false">C18+O18</f>
        <v>50.221797752809</v>
      </c>
    </row>
    <row r="19" customFormat="false" ht="12.8" hidden="false" customHeight="false" outlineLevel="0" collapsed="false">
      <c r="B19" s="183" t="s">
        <v>110</v>
      </c>
      <c r="C19" s="188" t="n">
        <f aca="false">Water!C23</f>
        <v>0</v>
      </c>
      <c r="G19" s="186" t="n">
        <f aca="false">IFERROR('Mash pH'!O6*26.0501/C10*3.7854,0)</f>
        <v>4.39046629213483</v>
      </c>
      <c r="L19" s="186" t="n">
        <f aca="false">IFERROR('Mash pH'!O10*26.0501/D10*3.7854,0)</f>
        <v>0</v>
      </c>
      <c r="N19" s="186" t="n">
        <f aca="false">G19*C10/(C10+D10)</f>
        <v>4.39046629213483</v>
      </c>
      <c r="O19" s="186" t="n">
        <f aca="false">((G19*C10)+(L19*D10))/(C10+D10)</f>
        <v>4.39046629213483</v>
      </c>
      <c r="P19" s="186" t="n">
        <f aca="false">C19+N19</f>
        <v>4.39046629213483</v>
      </c>
      <c r="Q19" s="186" t="n">
        <f aca="false">C19+O19</f>
        <v>4.39046629213483</v>
      </c>
    </row>
    <row r="20" customFormat="false" ht="12.8" hidden="false" customHeight="false" outlineLevel="0" collapsed="false">
      <c r="B20" s="183" t="s">
        <v>178</v>
      </c>
      <c r="C20" s="188" t="n">
        <f aca="false">Water!D23</f>
        <v>0</v>
      </c>
      <c r="H20" s="186" t="n">
        <f aca="false">IFERROR('Mash pH'!P6*103.9177/C10*3.7854,0)</f>
        <v>0</v>
      </c>
      <c r="I20" s="186" t="n">
        <f aca="false">IFERROR('Mash pH'!Q6*72.3/C10*3.7854,0)</f>
        <v>0</v>
      </c>
      <c r="M20" s="186" t="n">
        <f aca="false">IFERROR('Mash pH'!P10*103.9177/D10*3.7854,0)</f>
        <v>0</v>
      </c>
      <c r="N20" s="186" t="n">
        <f aca="false">(H20+I20)*C10/(C10+D10)</f>
        <v>0</v>
      </c>
      <c r="O20" s="186" t="n">
        <f aca="false">((H20+I20)*C10+(M20)*D10)/(C10+D10)</f>
        <v>0</v>
      </c>
      <c r="P20" s="186" t="n">
        <f aca="false">C20+N20</f>
        <v>0</v>
      </c>
      <c r="Q20" s="186" t="n">
        <f aca="false">C20+O20</f>
        <v>0</v>
      </c>
    </row>
    <row r="21" customFormat="false" ht="12.8" hidden="false" customHeight="false" outlineLevel="0" collapsed="false">
      <c r="B21" s="183" t="s">
        <v>179</v>
      </c>
      <c r="C21" s="188" t="n">
        <f aca="false">Water!F23</f>
        <v>0</v>
      </c>
      <c r="E21" s="186" t="n">
        <f aca="false">IFERROR('CaCl2 Selector'!J10,0)</f>
        <v>64.4242348314607</v>
      </c>
      <c r="H21" s="186" t="n">
        <f aca="false">IFERROR('Mash pH'!P6*160.2552/C10*3.7854,0)</f>
        <v>0</v>
      </c>
      <c r="K21" s="186" t="n">
        <f aca="false">IFERROR('CaCl2 Selector'!J11,0)</f>
        <v>0</v>
      </c>
      <c r="M21" s="186" t="n">
        <f aca="false">IFERROR('Mash pH'!P10*160.2552/D10*3.7854,0)</f>
        <v>0</v>
      </c>
      <c r="N21" s="186" t="n">
        <f aca="false">(E21+H21)*C10/(C10+D10)</f>
        <v>64.4242348314607</v>
      </c>
      <c r="O21" s="186" t="n">
        <f aca="false">((E21+H21)*C10+(K21+M21)*D10)/(C10+D10)</f>
        <v>64.4242348314607</v>
      </c>
      <c r="P21" s="186" t="n">
        <f aca="false">C21+N21</f>
        <v>64.4242348314607</v>
      </c>
      <c r="Q21" s="186" t="n">
        <f aca="false">C21+O21</f>
        <v>64.4242348314607</v>
      </c>
    </row>
    <row r="22" customFormat="false" ht="12.8" hidden="false" customHeight="false" outlineLevel="0" collapsed="false">
      <c r="B22" s="183" t="s">
        <v>180</v>
      </c>
      <c r="C22" s="188" t="n">
        <f aca="false">Water!G23</f>
        <v>0</v>
      </c>
      <c r="D22" s="186" t="n">
        <f aca="false">IFERROR('Mash pH'!M6*147.3948/C10*3.7854,0)</f>
        <v>33.1224269662921</v>
      </c>
      <c r="G22" s="186" t="n">
        <f aca="false">IFERROR('Mash pH'!O6*102.9605/C10*3.7854,0)</f>
        <v>17.352893258427</v>
      </c>
      <c r="J22" s="186" t="n">
        <f aca="false">IFERROR('Mash pH'!M10*147.3948/D10*3.7854,0)</f>
        <v>0</v>
      </c>
      <c r="L22" s="186" t="n">
        <f aca="false">IFERROR('Mash pH'!O10*102.9605/D10*3.7854,0)</f>
        <v>0</v>
      </c>
      <c r="N22" s="186" t="n">
        <f aca="false">(D22+G22)*C10/(C10+D10)</f>
        <v>50.4753202247191</v>
      </c>
      <c r="O22" s="186" t="n">
        <f aca="false">((D22+G22)*C10+(J22+L22)*D10)/(C10+D10)</f>
        <v>50.4753202247191</v>
      </c>
      <c r="P22" s="186" t="n">
        <f aca="false">C22+N22</f>
        <v>50.4753202247191</v>
      </c>
      <c r="Q22" s="186" t="n">
        <f aca="false">C22+O22</f>
        <v>50.4753202247191</v>
      </c>
    </row>
  </sheetData>
  <sheetProtection sheet="true" password="d3f5" objects="true" scenarios="true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1:O46"/>
  <sheetViews>
    <sheetView showFormulas="false" showGridLines="false" showRowColHeaders="false" showZeros="true" rightToLeft="false" tabSelected="false" showOutlineSymbols="false" defaultGridColor="true" view="normal" topLeftCell="A1" colorId="64" zoomScale="80" zoomScaleNormal="80" zoomScalePageLayoutView="100" workbookViewId="0">
      <selection pane="topLeft" activeCell="F11" activeCellId="0" sqref="F11"/>
    </sheetView>
  </sheetViews>
  <sheetFormatPr defaultColWidth="11.35546875" defaultRowHeight="12.8" zeroHeight="false" outlineLevelRow="0" outlineLevelCol="0"/>
  <cols>
    <col collapsed="false" customWidth="true" hidden="false" outlineLevel="0" max="1" min="1" style="4" width="5.86"/>
    <col collapsed="false" customWidth="true" hidden="false" outlineLevel="0" max="2" min="2" style="4" width="17.47"/>
    <col collapsed="false" customWidth="true" hidden="false" outlineLevel="0" max="3" min="3" style="120" width="3.63"/>
    <col collapsed="false" customWidth="true" hidden="false" outlineLevel="0" max="4" min="4" style="190" width="13.99"/>
    <col collapsed="false" customWidth="true" hidden="false" outlineLevel="0" max="5" min="5" style="190" width="19.98"/>
    <col collapsed="false" customWidth="true" hidden="false" outlineLevel="0" max="6" min="6" style="190" width="10.25"/>
    <col collapsed="false" customWidth="true" hidden="false" outlineLevel="0" max="7" min="7" style="190" width="16.46"/>
    <col collapsed="false" customWidth="true" hidden="false" outlineLevel="0" max="8" min="8" style="190" width="21.37"/>
    <col collapsed="false" customWidth="true" hidden="false" outlineLevel="0" max="10" min="9" style="190" width="14.38"/>
    <col collapsed="false" customWidth="true" hidden="false" outlineLevel="0" max="11" min="11" style="190" width="23.31"/>
    <col collapsed="false" customWidth="true" hidden="false" outlineLevel="0" max="12" min="12" style="190" width="14.79"/>
    <col collapsed="false" customWidth="true" hidden="false" outlineLevel="0" max="13" min="13" style="190" width="21.51"/>
    <col collapsed="false" customWidth="true" hidden="false" outlineLevel="0" max="15" min="14" style="190" width="13.36"/>
    <col collapsed="false" customWidth="false" hidden="false" outlineLevel="0" max="38" min="16" style="190" width="11.34"/>
    <col collapsed="false" customWidth="false" hidden="false" outlineLevel="0" max="1023" min="39" style="120" width="11.34"/>
  </cols>
  <sheetData>
    <row r="1" customFormat="false" ht="26.3" hidden="false" customHeight="true" outlineLevel="0" collapsed="false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customFormat="false" ht="27.2" hidden="false" customHeight="true" outlineLevel="0" collapsed="false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customFormat="false" ht="27.2" hidden="false" customHeight="true" outlineLevel="0" collapsed="false">
      <c r="B3" s="191" t="s">
        <v>75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customFormat="false" ht="27.2" hidden="false" customHeight="true" outlineLevel="0" collapsed="false">
      <c r="B4" s="192" t="s">
        <v>81</v>
      </c>
      <c r="C4" s="4"/>
      <c r="D4" s="193" t="s">
        <v>181</v>
      </c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customFormat="false" ht="27.35" hidden="false" customHeight="true" outlineLevel="0" collapsed="false">
      <c r="B5" s="194" t="s">
        <v>80</v>
      </c>
      <c r="C5" s="4"/>
      <c r="D5" s="193"/>
      <c r="E5" s="193"/>
      <c r="F5" s="4"/>
      <c r="G5" s="4"/>
      <c r="H5" s="193"/>
      <c r="I5" s="193"/>
      <c r="J5" s="193"/>
      <c r="K5" s="193"/>
      <c r="L5" s="193"/>
      <c r="M5" s="193"/>
      <c r="N5" s="4"/>
      <c r="O5" s="4"/>
    </row>
    <row r="6" customFormat="false" ht="27.2" hidden="false" customHeight="true" outlineLevel="0" collapsed="false">
      <c r="B6" s="195" t="s">
        <v>84</v>
      </c>
      <c r="C6" s="4"/>
      <c r="D6" s="196"/>
      <c r="E6" s="196"/>
      <c r="F6" s="196" t="s">
        <v>182</v>
      </c>
      <c r="G6" s="4"/>
      <c r="H6" s="145" t="s">
        <v>183</v>
      </c>
      <c r="I6" s="145" t="s">
        <v>184</v>
      </c>
      <c r="J6" s="145" t="s">
        <v>184</v>
      </c>
      <c r="K6" s="196"/>
      <c r="L6" s="196"/>
      <c r="M6" s="4"/>
      <c r="N6" s="196" t="s">
        <v>185</v>
      </c>
      <c r="O6" s="196" t="s">
        <v>185</v>
      </c>
    </row>
    <row r="7" customFormat="false" ht="18" hidden="false" customHeight="true" outlineLevel="0" collapsed="false">
      <c r="B7" s="197" t="s">
        <v>186</v>
      </c>
      <c r="C7" s="4"/>
      <c r="D7" s="196" t="s">
        <v>106</v>
      </c>
      <c r="E7" s="196" t="s">
        <v>183</v>
      </c>
      <c r="F7" s="145" t="s">
        <v>158</v>
      </c>
      <c r="G7" s="145" t="s">
        <v>187</v>
      </c>
      <c r="H7" s="196" t="s">
        <v>188</v>
      </c>
      <c r="I7" s="196" t="s">
        <v>189</v>
      </c>
      <c r="J7" s="196" t="s">
        <v>189</v>
      </c>
      <c r="K7" s="4"/>
      <c r="L7" s="145" t="s">
        <v>190</v>
      </c>
      <c r="M7" s="196" t="str">
        <f aca="false">IF(H11="Citric Acid","Grams of","mL’s of")</f>
        <v>mL’s of</v>
      </c>
      <c r="N7" s="196" t="s">
        <v>191</v>
      </c>
      <c r="O7" s="196" t="s">
        <v>191</v>
      </c>
    </row>
    <row r="8" customFormat="false" ht="18" hidden="false" customHeight="true" outlineLevel="0" collapsed="false">
      <c r="B8" s="197"/>
      <c r="C8" s="4"/>
      <c r="D8" s="145" t="s">
        <v>192</v>
      </c>
      <c r="E8" s="196" t="s">
        <v>193</v>
      </c>
      <c r="F8" s="196" t="s">
        <v>194</v>
      </c>
      <c r="G8" s="196" t="s">
        <v>158</v>
      </c>
      <c r="H8" s="196" t="s">
        <v>195</v>
      </c>
      <c r="I8" s="196" t="s">
        <v>196</v>
      </c>
      <c r="J8" s="196" t="s">
        <v>107</v>
      </c>
      <c r="K8" s="196" t="str">
        <f aca="false">H11&amp;"'s"</f>
        <v>88% Lactic's</v>
      </c>
      <c r="L8" s="196" t="s">
        <v>197</v>
      </c>
      <c r="M8" s="196" t="str">
        <f aca="false">H11</f>
        <v>88% Lactic</v>
      </c>
      <c r="N8" s="196" t="s">
        <v>190</v>
      </c>
      <c r="O8" s="196" t="s">
        <v>190</v>
      </c>
    </row>
    <row r="9" customFormat="false" ht="18" hidden="false" customHeight="true" outlineLevel="0" collapsed="false">
      <c r="C9" s="4"/>
      <c r="D9" s="196" t="s">
        <v>194</v>
      </c>
      <c r="E9" s="196" t="s">
        <v>198</v>
      </c>
      <c r="F9" s="196" t="s">
        <v>199</v>
      </c>
      <c r="G9" s="196" t="s">
        <v>200</v>
      </c>
      <c r="H9" s="196" t="s">
        <v>201</v>
      </c>
      <c r="I9" s="196" t="s">
        <v>107</v>
      </c>
      <c r="J9" s="196" t="s">
        <v>202</v>
      </c>
      <c r="K9" s="196" t="str">
        <f aca="false">IF(H11="Citric Acid","mEq/Gram","mEq/mL")</f>
        <v>mEq/mL</v>
      </c>
      <c r="L9" s="196" t="s">
        <v>107</v>
      </c>
      <c r="M9" s="196" t="s">
        <v>203</v>
      </c>
      <c r="N9" s="196" t="s">
        <v>179</v>
      </c>
      <c r="O9" s="196" t="s">
        <v>180</v>
      </c>
    </row>
    <row r="10" customFormat="false" ht="3.6" hidden="false" customHeight="true" outlineLevel="0" collapsed="false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customFormat="false" ht="29.4" hidden="false" customHeight="true" outlineLevel="0" collapsed="false">
      <c r="C11" s="4"/>
      <c r="D11" s="198" t="n">
        <f aca="false">'Mash pH'!N14</f>
        <v>0</v>
      </c>
      <c r="E11" s="199" t="n">
        <v>0</v>
      </c>
      <c r="F11" s="200" t="n">
        <v>7.5</v>
      </c>
      <c r="G11" s="201" t="n">
        <v>5.5</v>
      </c>
      <c r="H11" s="202" t="s">
        <v>204</v>
      </c>
      <c r="I11" s="203" t="n">
        <f aca="false">E11*D11*3.7854/50.04345</f>
        <v>0</v>
      </c>
      <c r="J11" s="203" t="n">
        <f aca="false">K20</f>
        <v>0</v>
      </c>
      <c r="K11" s="204" t="n">
        <f aca="false">VLOOKUP(H11,'Sparge_Acid mEq'!C11:R21,16,0)</f>
        <v>11.5179286181447</v>
      </c>
      <c r="L11" s="205" t="n">
        <f aca="false">IF(D11&gt;0,(I11-J11)*50.04345/(D11*3.7854),0)</f>
        <v>0</v>
      </c>
      <c r="M11" s="203" t="n">
        <f aca="false">IF(E11&gt;0,(J11/K11),0)</f>
        <v>0</v>
      </c>
      <c r="N11" s="206" t="n">
        <f aca="false">IF(AND(M11&gt;0,H11="AMS (CRS)"),64.279*M11/('Mash pH'!O14*3.7854),0)</f>
        <v>0</v>
      </c>
      <c r="O11" s="206" t="n">
        <f aca="false">IF(AND(M11&gt;0,H11="AMS (CRS)"),88.484*M11/('Mash pH'!O14*3.7854),0)</f>
        <v>0</v>
      </c>
    </row>
    <row r="12" customFormat="false" ht="12.65" hidden="false" customHeight="true" outlineLevel="0" collapsed="false">
      <c r="C12" s="4"/>
      <c r="D12" s="4"/>
      <c r="E12" s="207" t="s">
        <v>205</v>
      </c>
      <c r="F12" s="207" t="s">
        <v>205</v>
      </c>
      <c r="G12" s="207" t="s">
        <v>205</v>
      </c>
      <c r="H12" s="207" t="s">
        <v>205</v>
      </c>
      <c r="I12" s="207"/>
      <c r="J12" s="207"/>
      <c r="K12" s="4"/>
      <c r="L12" s="4"/>
      <c r="M12" s="4"/>
      <c r="N12" s="4"/>
      <c r="O12" s="4"/>
    </row>
    <row r="13" customFormat="false" ht="17.15" hidden="false" customHeight="true" outlineLevel="0" collapsed="false">
      <c r="C13" s="208"/>
      <c r="D13" s="209"/>
      <c r="E13" s="210" t="s">
        <v>206</v>
      </c>
      <c r="F13" s="210"/>
      <c r="G13" s="210"/>
      <c r="H13" s="210"/>
      <c r="I13" s="211"/>
      <c r="J13" s="211"/>
      <c r="K13" s="212"/>
      <c r="L13" s="212"/>
      <c r="M13" s="213"/>
      <c r="N13" s="4"/>
      <c r="O13" s="4"/>
    </row>
    <row r="14" customFormat="false" ht="27.2" hidden="false" customHeight="true" outlineLevel="0" collapsed="false">
      <c r="B14" s="214"/>
      <c r="C14" s="215"/>
      <c r="D14" s="209"/>
      <c r="E14" s="216"/>
      <c r="F14" s="217"/>
      <c r="G14" s="217"/>
      <c r="H14" s="218"/>
      <c r="I14" s="218"/>
      <c r="J14" s="218"/>
      <c r="K14" s="218"/>
      <c r="L14" s="218"/>
      <c r="M14" s="209"/>
      <c r="N14" s="219"/>
      <c r="O14" s="219"/>
    </row>
    <row r="15" customFormat="false" ht="27.2" hidden="false" customHeight="true" outlineLevel="0" collapsed="false">
      <c r="B15" s="214"/>
      <c r="C15" s="215"/>
      <c r="D15" s="209"/>
      <c r="E15" s="209"/>
      <c r="F15" s="209"/>
      <c r="G15" s="209"/>
      <c r="H15" s="218"/>
      <c r="I15" s="218"/>
      <c r="J15" s="218" t="s">
        <v>207</v>
      </c>
      <c r="K15" s="208" t="n">
        <f aca="false">-780.132225013302+930.675267920368*G11-468.985903380742*G11^2+129.285941580041*G11^3-21.0407808980981*G11^4+2.02073321523162*G11^5-0.106055330905865*G11^6+0.00234788488449278*G11^7</f>
        <v>-0.11756993930527</v>
      </c>
      <c r="L15" s="208"/>
      <c r="M15" s="209"/>
      <c r="N15" s="5"/>
      <c r="O15" s="219"/>
    </row>
    <row r="16" customFormat="false" ht="27.2" hidden="false" customHeight="true" outlineLevel="0" collapsed="false">
      <c r="B16" s="214"/>
      <c r="C16" s="215"/>
      <c r="D16" s="209"/>
      <c r="E16" s="209"/>
      <c r="F16" s="209"/>
      <c r="G16" s="209"/>
      <c r="H16" s="209" t="s">
        <v>208</v>
      </c>
      <c r="I16" s="209"/>
      <c r="J16" s="209" t="s">
        <v>209</v>
      </c>
      <c r="K16" s="220" t="n">
        <f aca="false">-780.132225013302+930.675267920368*F11-468.985903380742*F11^2+129.285941580041*F11^3-21.0407808980981*F11^4+2.02073321523162*F11^5-0.106055330905865*F11^6+0.00234788488449278*F11^7</f>
        <v>-0.939940186064177</v>
      </c>
      <c r="L16" s="220"/>
      <c r="M16" s="209"/>
      <c r="N16" s="219"/>
      <c r="O16" s="219"/>
    </row>
    <row r="17" customFormat="false" ht="27.2" hidden="false" customHeight="true" outlineLevel="0" collapsed="false">
      <c r="B17" s="214"/>
      <c r="C17" s="215"/>
      <c r="D17" s="209"/>
      <c r="E17" s="209"/>
      <c r="F17" s="209"/>
      <c r="G17" s="209"/>
      <c r="H17" s="209" t="s">
        <v>210</v>
      </c>
      <c r="I17" s="209"/>
      <c r="J17" s="209" t="s">
        <v>211</v>
      </c>
      <c r="K17" s="209" t="n">
        <f aca="false">-0.01-K16</f>
        <v>0.929940186064177</v>
      </c>
      <c r="L17" s="209"/>
      <c r="M17" s="209"/>
      <c r="N17" s="219"/>
      <c r="O17" s="219"/>
    </row>
    <row r="18" customFormat="false" ht="27.2" hidden="false" customHeight="true" outlineLevel="0" collapsed="false">
      <c r="B18" s="214"/>
      <c r="C18" s="215"/>
      <c r="D18" s="209"/>
      <c r="E18" s="209"/>
      <c r="F18" s="209"/>
      <c r="G18" s="209"/>
      <c r="H18" s="209" t="s">
        <v>212</v>
      </c>
      <c r="I18" s="209"/>
      <c r="J18" s="209" t="s">
        <v>213</v>
      </c>
      <c r="K18" s="209" t="n">
        <f aca="false">I11/K17</f>
        <v>0</v>
      </c>
      <c r="L18" s="209"/>
      <c r="M18" s="209"/>
      <c r="N18" s="219"/>
      <c r="O18" s="219"/>
    </row>
    <row r="19" customFormat="false" ht="27.2" hidden="false" customHeight="true" outlineLevel="0" collapsed="false">
      <c r="B19" s="214"/>
      <c r="C19" s="215"/>
      <c r="D19" s="209"/>
      <c r="E19" s="209"/>
      <c r="F19" s="209"/>
      <c r="G19" s="209"/>
      <c r="H19" s="209" t="s">
        <v>214</v>
      </c>
      <c r="I19" s="209"/>
      <c r="J19" s="209" t="s">
        <v>215</v>
      </c>
      <c r="K19" s="209" t="n">
        <f aca="false">K15-K16</f>
        <v>0.822370246758908</v>
      </c>
      <c r="L19" s="209"/>
      <c r="M19" s="209"/>
      <c r="N19" s="219"/>
      <c r="O19" s="219"/>
    </row>
    <row r="20" customFormat="false" ht="27.2" hidden="false" customHeight="true" outlineLevel="0" collapsed="false">
      <c r="B20" s="214"/>
      <c r="C20" s="215"/>
      <c r="D20" s="209"/>
      <c r="E20" s="209"/>
      <c r="F20" s="209"/>
      <c r="G20" s="209"/>
      <c r="H20" s="209" t="s">
        <v>204</v>
      </c>
      <c r="I20" s="209"/>
      <c r="J20" s="209" t="s">
        <v>216</v>
      </c>
      <c r="K20" s="209" t="n">
        <f aca="false">K18*K19</f>
        <v>0</v>
      </c>
      <c r="L20" s="209"/>
      <c r="M20" s="209"/>
      <c r="N20" s="219"/>
      <c r="O20" s="219"/>
    </row>
    <row r="21" customFormat="false" ht="27.2" hidden="false" customHeight="true" outlineLevel="0" collapsed="false">
      <c r="B21" s="214"/>
      <c r="C21" s="215"/>
      <c r="D21" s="209"/>
      <c r="E21" s="209"/>
      <c r="F21" s="209"/>
      <c r="G21" s="209"/>
      <c r="H21" s="209" t="s">
        <v>217</v>
      </c>
      <c r="I21" s="209"/>
      <c r="J21" s="209"/>
      <c r="K21" s="209"/>
      <c r="L21" s="209"/>
      <c r="M21" s="209"/>
      <c r="N21" s="219"/>
      <c r="O21" s="219"/>
    </row>
    <row r="22" customFormat="false" ht="27.35" hidden="false" customHeight="true" outlineLevel="0" collapsed="false">
      <c r="B22" s="214"/>
      <c r="C22" s="215"/>
      <c r="D22" s="209"/>
      <c r="E22" s="209"/>
      <c r="F22" s="209"/>
      <c r="G22" s="209"/>
      <c r="H22" s="209" t="s">
        <v>218</v>
      </c>
      <c r="I22" s="209"/>
      <c r="J22" s="209"/>
      <c r="K22" s="209"/>
      <c r="L22" s="209"/>
      <c r="M22" s="209"/>
      <c r="N22" s="219"/>
      <c r="O22" s="219"/>
    </row>
    <row r="23" customFormat="false" ht="27.35" hidden="false" customHeight="true" outlineLevel="0" collapsed="false">
      <c r="B23" s="214"/>
      <c r="C23" s="215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19"/>
      <c r="O23" s="219"/>
    </row>
    <row r="24" customFormat="false" ht="27.35" hidden="false" customHeight="true" outlineLevel="0" collapsed="false">
      <c r="B24" s="214"/>
      <c r="C24" s="215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19"/>
      <c r="O24" s="219"/>
    </row>
    <row r="25" customFormat="false" ht="27.35" hidden="false" customHeight="true" outlineLevel="0" collapsed="false">
      <c r="B25" s="214"/>
      <c r="C25" s="215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19"/>
      <c r="O25" s="219"/>
    </row>
    <row r="26" customFormat="false" ht="27.35" hidden="false" customHeight="true" outlineLevel="0" collapsed="false">
      <c r="C26" s="208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19"/>
      <c r="O26" s="219"/>
    </row>
    <row r="27" customFormat="false" ht="27.35" hidden="false" customHeight="true" outlineLevel="0" collapsed="false">
      <c r="C27" s="215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19"/>
    </row>
    <row r="28" customFormat="false" ht="27.35" hidden="false" customHeight="true" outlineLevel="0" collapsed="false">
      <c r="C28" s="215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19"/>
    </row>
    <row r="29" customFormat="false" ht="27.35" hidden="false" customHeight="true" outlineLevel="0" collapsed="false">
      <c r="C29" s="208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19"/>
    </row>
    <row r="30" customFormat="false" ht="27.35" hidden="false" customHeight="true" outlineLevel="0" collapsed="false">
      <c r="C30" s="123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19"/>
    </row>
    <row r="31" customFormat="false" ht="27.35" hidden="false" customHeight="true" outlineLevel="0" collapsed="false">
      <c r="C31" s="123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19"/>
    </row>
    <row r="32" customFormat="false" ht="27.35" hidden="false" customHeight="true" outlineLevel="0" collapsed="false">
      <c r="C32" s="123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19"/>
    </row>
    <row r="33" customFormat="false" ht="27.35" hidden="false" customHeight="true" outlineLevel="0" collapsed="false">
      <c r="C33" s="123"/>
      <c r="D33" s="221"/>
      <c r="E33" s="222"/>
      <c r="F33" s="221"/>
      <c r="G33" s="221"/>
      <c r="H33" s="221"/>
      <c r="I33" s="221"/>
      <c r="J33" s="221"/>
      <c r="K33" s="221"/>
      <c r="L33" s="221"/>
      <c r="M33" s="221"/>
    </row>
    <row r="34" customFormat="false" ht="27.35" hidden="false" customHeight="true" outlineLevel="0" collapsed="false">
      <c r="C34" s="123"/>
      <c r="D34" s="221"/>
      <c r="E34" s="222"/>
      <c r="F34" s="221"/>
      <c r="G34" s="221"/>
      <c r="H34" s="221"/>
      <c r="I34" s="221"/>
      <c r="J34" s="221"/>
      <c r="K34" s="221"/>
      <c r="L34" s="221"/>
      <c r="M34" s="221"/>
    </row>
    <row r="35" customFormat="false" ht="27.35" hidden="false" customHeight="true" outlineLevel="0" collapsed="false">
      <c r="D35" s="221"/>
      <c r="E35" s="222"/>
      <c r="F35" s="221"/>
      <c r="G35" s="221"/>
      <c r="H35" s="221"/>
      <c r="I35" s="221"/>
      <c r="J35" s="221"/>
      <c r="K35" s="221"/>
      <c r="L35" s="221"/>
      <c r="M35" s="221"/>
    </row>
    <row r="36" customFormat="false" ht="27.35" hidden="false" customHeight="true" outlineLevel="0" collapsed="false">
      <c r="D36" s="221"/>
      <c r="E36" s="222"/>
      <c r="F36" s="221"/>
      <c r="G36" s="221"/>
      <c r="H36" s="221"/>
      <c r="I36" s="221"/>
      <c r="J36" s="221"/>
      <c r="K36" s="221"/>
      <c r="L36" s="221"/>
      <c r="M36" s="221"/>
    </row>
    <row r="37" customFormat="false" ht="27.35" hidden="false" customHeight="true" outlineLevel="0" collapsed="false">
      <c r="D37" s="221"/>
      <c r="E37" s="222"/>
      <c r="F37" s="221"/>
      <c r="G37" s="221"/>
      <c r="H37" s="221"/>
      <c r="I37" s="221"/>
      <c r="J37" s="221"/>
      <c r="K37" s="221"/>
      <c r="L37" s="221"/>
      <c r="M37" s="221"/>
    </row>
    <row r="38" customFormat="false" ht="27.35" hidden="false" customHeight="true" outlineLevel="0" collapsed="false">
      <c r="D38" s="221"/>
      <c r="E38" s="222"/>
      <c r="F38" s="221"/>
      <c r="G38" s="221"/>
      <c r="H38" s="221"/>
      <c r="I38" s="221"/>
      <c r="J38" s="221"/>
      <c r="K38" s="221"/>
      <c r="L38" s="221"/>
      <c r="M38" s="221"/>
    </row>
    <row r="39" customFormat="false" ht="27.35" hidden="false" customHeight="true" outlineLevel="0" collapsed="false">
      <c r="D39" s="221"/>
      <c r="E39" s="222"/>
      <c r="F39" s="221"/>
      <c r="G39" s="221"/>
      <c r="H39" s="221"/>
      <c r="I39" s="221"/>
      <c r="J39" s="221"/>
      <c r="K39" s="221"/>
      <c r="L39" s="221"/>
      <c r="M39" s="221"/>
    </row>
    <row r="40" customFormat="false" ht="27.35" hidden="false" customHeight="true" outlineLevel="0" collapsed="false">
      <c r="D40" s="221"/>
      <c r="E40" s="222"/>
      <c r="F40" s="221"/>
      <c r="G40" s="221"/>
      <c r="H40" s="221"/>
      <c r="I40" s="221"/>
      <c r="J40" s="221"/>
      <c r="K40" s="221"/>
      <c r="L40" s="221"/>
      <c r="M40" s="221"/>
    </row>
    <row r="41" customFormat="false" ht="27.35" hidden="false" customHeight="true" outlineLevel="0" collapsed="false">
      <c r="D41" s="221"/>
      <c r="E41" s="222"/>
      <c r="F41" s="221"/>
      <c r="G41" s="221"/>
      <c r="H41" s="221"/>
      <c r="I41" s="221"/>
      <c r="J41" s="221"/>
      <c r="K41" s="221"/>
      <c r="L41" s="221"/>
      <c r="M41" s="221"/>
    </row>
    <row r="42" customFormat="false" ht="27.35" hidden="false" customHeight="true" outlineLevel="0" collapsed="false">
      <c r="D42" s="221"/>
      <c r="E42" s="222"/>
      <c r="F42" s="221"/>
      <c r="G42" s="221"/>
      <c r="H42" s="221"/>
      <c r="I42" s="221"/>
      <c r="J42" s="221"/>
      <c r="K42" s="221"/>
      <c r="L42" s="221"/>
      <c r="M42" s="221"/>
    </row>
    <row r="43" customFormat="false" ht="27.35" hidden="false" customHeight="true" outlineLevel="0" collapsed="false">
      <c r="D43" s="221"/>
      <c r="E43" s="222"/>
      <c r="F43" s="221"/>
      <c r="G43" s="221"/>
      <c r="H43" s="221"/>
      <c r="I43" s="221"/>
      <c r="J43" s="221"/>
      <c r="K43" s="221"/>
      <c r="L43" s="221"/>
      <c r="M43" s="221"/>
    </row>
    <row r="44" customFormat="false" ht="27.35" hidden="false" customHeight="true" outlineLevel="0" collapsed="false">
      <c r="E44" s="223"/>
    </row>
    <row r="45" customFormat="false" ht="27.35" hidden="false" customHeight="true" outlineLevel="0" collapsed="false">
      <c r="E45" s="223"/>
    </row>
    <row r="46" customFormat="false" ht="27.35" hidden="false" customHeight="true" outlineLevel="0" collapsed="false">
      <c r="E46" s="223"/>
    </row>
  </sheetData>
  <sheetProtection sheet="true" password="d3f5" objects="true" scenarios="true" selectLockedCells="true"/>
  <mergeCells count="3">
    <mergeCell ref="D4:O4"/>
    <mergeCell ref="B7:B8"/>
    <mergeCell ref="E13:H13"/>
  </mergeCells>
  <dataValidations count="4">
    <dataValidation allowBlank="true" errorStyle="stop" operator="equal" showDropDown="false" showErrorMessage="true" showInputMessage="false" sqref="H11" type="list">
      <formula1>'Sparge H2O Adj.'!$H$16:$H$22</formula1>
      <formula2>0</formula2>
    </dataValidation>
    <dataValidation allowBlank="true" errorStyle="stop" operator="equal" showDropDown="false" showErrorMessage="true" showInputMessage="false" sqref="I11:J11" type="none">
      <formula1>0</formula1>
      <formula2>0</formula2>
    </dataValidation>
    <dataValidation allowBlank="true" error="If pH &gt; 9.0, enter 9.0" errorStyle="stop" errorTitle="Acceptable Range 5-9" operator="between" showDropDown="false" showErrorMessage="true" showInputMessage="false" sqref="F11" type="decimal">
      <formula1>5</formula1>
      <formula2>9</formula2>
    </dataValidation>
    <dataValidation allowBlank="true" error="Acceptable Range 4.3-6.0" errorStyle="stop" errorTitle="Range 4.3-6.0" operator="between" showDropDown="false" showErrorMessage="true" showInputMessage="false" sqref="G11" type="decimal">
      <formula1>4.3</formula1>
      <formula2>6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1:Z22"/>
  <sheetViews>
    <sheetView showFormulas="false" showGridLines="false" showRowColHeaders="false" showZeros="true" rightToLeft="false" tabSelected="false" showOutlineSymbols="false" defaultGridColor="true" view="normal" topLeftCell="A1" colorId="64" zoomScale="100" zoomScaleNormal="100" zoomScalePageLayoutView="100" workbookViewId="0">
      <selection pane="topLeft" activeCell="F10" activeCellId="0" sqref="F10"/>
    </sheetView>
  </sheetViews>
  <sheetFormatPr defaultColWidth="11.35546875" defaultRowHeight="12.8" zeroHeight="false" outlineLevelRow="0" outlineLevelCol="0"/>
  <cols>
    <col collapsed="false" customWidth="true" hidden="false" outlineLevel="0" max="1" min="1" style="224" width="3.63"/>
    <col collapsed="false" customWidth="true" hidden="false" outlineLevel="0" max="2" min="2" style="224" width="12.96"/>
    <col collapsed="false" customWidth="true" hidden="false" outlineLevel="0" max="3" min="3" style="224" width="2.33"/>
    <col collapsed="false" customWidth="true" hidden="false" outlineLevel="0" max="4" min="4" style="224" width="12.96"/>
    <col collapsed="false" customWidth="true" hidden="false" outlineLevel="0" max="5" min="5" style="224" width="2.33"/>
    <col collapsed="false" customWidth="true" hidden="false" outlineLevel="0" max="6" min="6" style="224" width="12.96"/>
    <col collapsed="false" customWidth="true" hidden="false" outlineLevel="0" max="7" min="7" style="224" width="2.33"/>
    <col collapsed="false" customWidth="true" hidden="true" outlineLevel="0" max="8" min="8" style="224" width="11.52"/>
    <col collapsed="false" customWidth="true" hidden="true" outlineLevel="0" max="9" min="9" style="224" width="2.33"/>
    <col collapsed="false" customWidth="true" hidden="true" outlineLevel="0" max="10" min="10" style="224" width="11.52"/>
    <col collapsed="false" customWidth="true" hidden="true" outlineLevel="0" max="11" min="11" style="224" width="2.33"/>
    <col collapsed="false" customWidth="true" hidden="false" outlineLevel="0" max="12" min="12" style="224" width="12.96"/>
    <col collapsed="false" customWidth="true" hidden="false" outlineLevel="0" max="13" min="13" style="225" width="2.33"/>
    <col collapsed="false" customWidth="true" hidden="false" outlineLevel="0" max="14" min="14" style="224" width="12.96"/>
    <col collapsed="false" customWidth="true" hidden="false" outlineLevel="0" max="15" min="15" style="224" width="2.33"/>
    <col collapsed="false" customWidth="true" hidden="false" outlineLevel="0" max="16" min="16" style="224" width="15.94"/>
    <col collapsed="false" customWidth="true" hidden="false" outlineLevel="0" max="17" min="17" style="224" width="2.33"/>
    <col collapsed="false" customWidth="true" hidden="false" outlineLevel="0" max="18" min="18" style="224" width="15.94"/>
    <col collapsed="false" customWidth="true" hidden="false" outlineLevel="0" max="19" min="19" style="224" width="2.33"/>
    <col collapsed="false" customWidth="true" hidden="false" outlineLevel="0" max="20" min="20" style="224" width="15.94"/>
    <col collapsed="false" customWidth="true" hidden="false" outlineLevel="0" max="21" min="21" style="224" width="2.33"/>
    <col collapsed="false" customWidth="true" hidden="false" outlineLevel="0" max="22" min="22" style="224" width="15.94"/>
    <col collapsed="false" customWidth="true" hidden="false" outlineLevel="0" max="23" min="23" style="224" width="2.33"/>
    <col collapsed="false" customWidth="true" hidden="false" outlineLevel="0" max="24" min="24" style="224" width="15.94"/>
    <col collapsed="false" customWidth="true" hidden="false" outlineLevel="0" max="25" min="25" style="224" width="2.33"/>
    <col collapsed="false" customWidth="true" hidden="false" outlineLevel="0" max="26" min="26" style="224" width="15.94"/>
    <col collapsed="false" customWidth="false" hidden="false" outlineLevel="0" max="28" min="27" style="224" width="11.34"/>
    <col collapsed="false" customWidth="false" hidden="false" outlineLevel="0" max="29" min="29" style="225" width="11.34"/>
    <col collapsed="false" customWidth="false" hidden="false" outlineLevel="0" max="1022" min="30" style="224" width="11.34"/>
    <col collapsed="false" customWidth="true" hidden="false" outlineLevel="0" max="1024" min="1023" style="4" width="11.52"/>
  </cols>
  <sheetData>
    <row r="1" customFormat="false" ht="21.6" hidden="false" customHeight="true" outlineLevel="0" collapsed="false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customFormat="false" ht="21.6" hidden="false" customHeight="true" outlineLevel="0" collapsed="false">
      <c r="B2" s="226" t="n">
        <f aca="false">IF(1.86336 + (0.62686 * L11)&gt;0,(1.86336 + (0.62686 * L11)),0)</f>
        <v>5.248404</v>
      </c>
      <c r="C2" s="4"/>
      <c r="D2" s="227" t="n">
        <f aca="false">IF(V16="Plato",F10/(258.6-((F10/258.2)*227.1))+1,F10)</f>
        <v>1.047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customFormat="false" ht="21.6" hidden="false" customHeight="true" outlineLevel="0" collapsed="false">
      <c r="B3" s="226" t="n">
        <f aca="false">(D10*46.21/B10)/1000</f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28" t="s">
        <v>219</v>
      </c>
      <c r="O3" s="228"/>
      <c r="P3" s="228"/>
      <c r="Q3" s="228"/>
      <c r="R3" s="228"/>
      <c r="S3" s="4"/>
      <c r="T3" s="4"/>
      <c r="U3" s="4"/>
      <c r="V3" s="4"/>
      <c r="W3" s="4"/>
      <c r="X3" s="4"/>
      <c r="Y3" s="4"/>
    </row>
    <row r="4" customFormat="false" ht="21.6" hidden="false" customHeight="true" outlineLevel="0" collapsed="false">
      <c r="B4" s="229" t="s">
        <v>220</v>
      </c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4"/>
    </row>
    <row r="5" customFormat="false" ht="21.6" hidden="false" customHeight="true" outlineLevel="0" collapsed="false"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4"/>
    </row>
    <row r="6" customFormat="false" ht="21.6" hidden="false" customHeight="true" outlineLevel="0" collapsed="false">
      <c r="B6" s="4"/>
      <c r="D6" s="4"/>
      <c r="F6" s="4"/>
      <c r="H6" s="4"/>
      <c r="J6" s="4"/>
      <c r="K6" s="4"/>
      <c r="L6" s="4"/>
      <c r="M6" s="4"/>
      <c r="N6" s="4"/>
      <c r="O6" s="4"/>
      <c r="P6" s="230" t="s">
        <v>221</v>
      </c>
      <c r="Q6" s="230"/>
      <c r="R6" s="230"/>
      <c r="S6" s="230"/>
      <c r="T6" s="230"/>
      <c r="U6" s="230"/>
      <c r="V6" s="230"/>
      <c r="W6" s="230"/>
      <c r="X6" s="230"/>
      <c r="Y6" s="230"/>
      <c r="Z6" s="230"/>
    </row>
    <row r="7" customFormat="false" ht="31.5" hidden="false" customHeight="true" outlineLevel="0" collapsed="false">
      <c r="B7" s="231" t="s">
        <v>222</v>
      </c>
      <c r="D7" s="231" t="s">
        <v>223</v>
      </c>
      <c r="F7" s="232" t="str">
        <f aca="false">IF(V16="Specific Gravity","Measured Pre-Boil Specific Gravity","Measured Pre-Boil Plato")</f>
        <v>Measured Pre-Boil Specific Gravity</v>
      </c>
      <c r="H7" s="233" t="s">
        <v>224</v>
      </c>
      <c r="J7" s="233" t="s">
        <v>225</v>
      </c>
      <c r="K7" s="234"/>
      <c r="L7" s="231" t="str">
        <f aca="false">"Actual Post Lautering And Pre-Boil pH @ "&amp;ROUND(P18,0)&amp;" Deg. F."</f>
        <v>Actual Post Lautering And Pre-Boil pH @ 68 Deg. F.</v>
      </c>
      <c r="M7" s="235"/>
      <c r="N7" s="231" t="s">
        <v>226</v>
      </c>
      <c r="O7" s="234"/>
      <c r="P7" s="236" t="s">
        <v>227</v>
      </c>
      <c r="Q7" s="234"/>
      <c r="R7" s="236" t="s">
        <v>228</v>
      </c>
      <c r="S7" s="4"/>
      <c r="T7" s="236" t="s">
        <v>229</v>
      </c>
      <c r="U7" s="237"/>
      <c r="V7" s="236" t="s">
        <v>230</v>
      </c>
      <c r="W7" s="237"/>
      <c r="X7" s="236" t="s">
        <v>231</v>
      </c>
      <c r="Z7" s="236" t="s">
        <v>232</v>
      </c>
    </row>
    <row r="8" customFormat="false" ht="31.5" hidden="false" customHeight="true" outlineLevel="0" collapsed="false">
      <c r="B8" s="231"/>
      <c r="D8" s="231"/>
      <c r="F8" s="232"/>
      <c r="H8" s="233"/>
      <c r="J8" s="233" t="s">
        <v>233</v>
      </c>
      <c r="K8" s="234"/>
      <c r="L8" s="231"/>
      <c r="M8" s="235"/>
      <c r="N8" s="231"/>
      <c r="O8" s="234"/>
      <c r="P8" s="236"/>
      <c r="Q8" s="234"/>
      <c r="R8" s="236"/>
      <c r="S8" s="4"/>
      <c r="T8" s="236"/>
      <c r="U8" s="237"/>
      <c r="V8" s="236"/>
      <c r="W8" s="237"/>
      <c r="X8" s="236"/>
      <c r="Z8" s="236"/>
    </row>
    <row r="9" customFormat="false" ht="7.5" hidden="false" customHeight="true" outlineLevel="0" collapsed="false">
      <c r="B9" s="4"/>
      <c r="D9" s="4"/>
      <c r="F9" s="4"/>
      <c r="H9" s="4"/>
      <c r="J9" s="4"/>
      <c r="L9" s="4"/>
      <c r="M9" s="4"/>
      <c r="N9" s="4"/>
      <c r="O9" s="4"/>
      <c r="P9" s="4"/>
      <c r="Q9" s="4"/>
      <c r="R9" s="4"/>
      <c r="S9" s="4"/>
      <c r="T9" s="4"/>
      <c r="U9" s="4"/>
      <c r="V9" s="238"/>
      <c r="W9" s="4"/>
      <c r="X9" s="4"/>
    </row>
    <row r="10" customFormat="false" ht="21.6" hidden="false" customHeight="true" outlineLevel="0" collapsed="false">
      <c r="B10" s="239" t="n">
        <f aca="false">R18</f>
        <v>7.51304320092149</v>
      </c>
      <c r="D10" s="240" t="n">
        <v>0</v>
      </c>
      <c r="F10" s="241" t="n">
        <v>1.047</v>
      </c>
      <c r="H10" s="242" t="n">
        <v>0.785</v>
      </c>
      <c r="J10" s="243" t="n">
        <f aca="false">((B10*(((D2-B3)-1)*1000)/0.75)/(46.21*H10))/2.20462</f>
        <v>5.88725859517605</v>
      </c>
      <c r="L10" s="244" t="n">
        <v>5.4</v>
      </c>
      <c r="M10" s="4"/>
      <c r="N10" s="244" t="n">
        <v>5.1</v>
      </c>
      <c r="O10" s="4"/>
      <c r="P10" s="239" t="n">
        <f aca="false">(B2-N10)*(J10*35)/(9.9684)</f>
        <v>3.06761820949678</v>
      </c>
      <c r="Q10" s="4"/>
      <c r="R10" s="239" t="n">
        <f aca="false">(B2-N10)*(J10*35)/(11.1407)</f>
        <v>2.74482261972298</v>
      </c>
      <c r="S10" s="4"/>
      <c r="T10" s="245" t="n">
        <f aca="false">(B2-N10)*(J10*35)/(1.0816)</f>
        <v>28.2722312865641</v>
      </c>
      <c r="U10" s="246"/>
      <c r="V10" s="239" t="n">
        <f aca="false">(B2-N10)*(J10*35)/(12.164)</f>
        <v>2.51391362705917</v>
      </c>
      <c r="W10" s="246"/>
      <c r="X10" s="239" t="n">
        <f aca="false">(B2-N10)*(J10*35)/(14.7463)</f>
        <v>2.07368935662151</v>
      </c>
      <c r="Z10" s="247" t="n">
        <f aca="false">(B2-N10)*(J10*35)/(11.0618)</f>
        <v>2.76440049174165</v>
      </c>
    </row>
    <row r="11" customFormat="false" ht="21.6" hidden="false" customHeight="true" outlineLevel="0" collapsed="false">
      <c r="D11" s="4"/>
      <c r="L11" s="248" t="n">
        <f aca="false">L10+(P20-20)*0.0055</f>
        <v>5.4</v>
      </c>
      <c r="M11" s="4"/>
      <c r="N11" s="4"/>
      <c r="O11" s="4"/>
      <c r="P11" s="4"/>
      <c r="Q11" s="4"/>
      <c r="R11" s="4"/>
      <c r="S11" s="4"/>
      <c r="T11" s="4"/>
      <c r="U11" s="4"/>
      <c r="V11" s="4"/>
      <c r="X11" s="4"/>
    </row>
    <row r="12" customFormat="false" ht="21.6" hidden="false" customHeight="true" outlineLevel="0" collapsed="false">
      <c r="D12" s="4"/>
      <c r="F12" s="249" t="s">
        <v>234</v>
      </c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4"/>
      <c r="V12" s="4"/>
      <c r="X12" s="238" t="s">
        <v>235</v>
      </c>
    </row>
    <row r="13" customFormat="false" ht="7.2" hidden="false" customHeight="true" outlineLevel="0" collapsed="false">
      <c r="D13" s="4"/>
      <c r="L13" s="250"/>
      <c r="M13" s="4"/>
      <c r="N13" s="251"/>
      <c r="O13" s="193"/>
      <c r="P13" s="193"/>
      <c r="Q13" s="193"/>
      <c r="R13" s="4"/>
      <c r="S13" s="4"/>
      <c r="T13" s="4"/>
      <c r="U13" s="4"/>
      <c r="V13" s="4"/>
    </row>
    <row r="14" customFormat="false" ht="14.4" hidden="false" customHeight="true" outlineLevel="0" collapsed="false">
      <c r="D14" s="252" t="s">
        <v>75</v>
      </c>
      <c r="L14" s="253" t="s">
        <v>236</v>
      </c>
      <c r="M14" s="254"/>
      <c r="N14" s="253" t="s">
        <v>237</v>
      </c>
      <c r="O14" s="255"/>
      <c r="P14" s="253" t="s">
        <v>238</v>
      </c>
      <c r="Q14" s="255"/>
      <c r="R14" s="253" t="s">
        <v>239</v>
      </c>
      <c r="S14" s="4"/>
      <c r="T14" s="4"/>
      <c r="U14" s="4"/>
      <c r="V14" s="256" t="s">
        <v>240</v>
      </c>
    </row>
    <row r="15" customFormat="false" ht="14.4" hidden="false" customHeight="true" outlineLevel="0" collapsed="false">
      <c r="D15" s="257" t="s">
        <v>81</v>
      </c>
      <c r="L15" s="253" t="s">
        <v>241</v>
      </c>
      <c r="M15" s="254"/>
      <c r="N15" s="253"/>
      <c r="O15" s="255"/>
      <c r="P15" s="253" t="s">
        <v>241</v>
      </c>
      <c r="Q15" s="255"/>
      <c r="R15" s="253" t="s">
        <v>160</v>
      </c>
      <c r="S15" s="4"/>
      <c r="T15" s="4"/>
      <c r="U15" s="4"/>
      <c r="V15" s="256" t="s">
        <v>201</v>
      </c>
    </row>
    <row r="16" customFormat="false" ht="14.4" hidden="false" customHeight="true" outlineLevel="0" collapsed="false">
      <c r="D16" s="258" t="s">
        <v>242</v>
      </c>
      <c r="L16" s="253" t="s">
        <v>243</v>
      </c>
      <c r="M16" s="254"/>
      <c r="N16" s="253"/>
      <c r="O16" s="255"/>
      <c r="P16" s="253" t="s">
        <v>243</v>
      </c>
      <c r="Q16" s="255"/>
      <c r="R16" s="253" t="s">
        <v>244</v>
      </c>
      <c r="S16" s="4"/>
      <c r="T16" s="4"/>
      <c r="U16" s="4"/>
      <c r="V16" s="259" t="s">
        <v>245</v>
      </c>
    </row>
    <row r="17" customFormat="false" ht="7.2" hidden="false" customHeight="true" outlineLevel="0" collapsed="false">
      <c r="L17" s="4"/>
      <c r="M17" s="187"/>
      <c r="N17" s="4"/>
      <c r="O17" s="4"/>
      <c r="P17" s="187"/>
      <c r="Q17" s="196"/>
      <c r="R17" s="4"/>
      <c r="S17" s="4"/>
      <c r="T17" s="4"/>
      <c r="U17" s="4"/>
      <c r="V17" s="4"/>
    </row>
    <row r="18" customFormat="false" ht="21.6" hidden="false" customHeight="true" outlineLevel="0" collapsed="false">
      <c r="L18" s="260" t="n">
        <v>150</v>
      </c>
      <c r="M18" s="105"/>
      <c r="N18" s="261" t="n">
        <v>7.65</v>
      </c>
      <c r="O18" s="4"/>
      <c r="P18" s="260" t="n">
        <v>68</v>
      </c>
      <c r="Q18" s="4"/>
      <c r="R18" s="262" t="n">
        <f aca="false">L21/P21*N18</f>
        <v>7.51304320092149</v>
      </c>
      <c r="S18" s="4"/>
      <c r="T18" s="4"/>
      <c r="U18" s="4"/>
      <c r="V18" s="263" t="s">
        <v>245</v>
      </c>
    </row>
    <row r="19" customFormat="false" ht="21.6" hidden="false" customHeight="true" outlineLevel="0" collapsed="false">
      <c r="L19" s="264" t="s">
        <v>246</v>
      </c>
      <c r="M19" s="264"/>
      <c r="N19" s="264"/>
      <c r="O19" s="264"/>
      <c r="P19" s="264"/>
      <c r="Q19" s="264"/>
      <c r="R19" s="264"/>
      <c r="S19" s="4"/>
      <c r="T19" s="4"/>
      <c r="V19" s="263" t="s">
        <v>247</v>
      </c>
    </row>
    <row r="20" customFormat="false" ht="21.6" hidden="false" customHeight="true" outlineLevel="0" collapsed="false">
      <c r="L20" s="209" t="n">
        <f aca="false">(L18-32)/1.8</f>
        <v>65.5555555555556</v>
      </c>
      <c r="M20" s="209"/>
      <c r="N20" s="218"/>
      <c r="O20" s="209"/>
      <c r="P20" s="209" t="n">
        <f aca="false">(P18-32)/1.8</f>
        <v>20</v>
      </c>
      <c r="Q20" s="265"/>
      <c r="R20" s="265"/>
      <c r="S20" s="4"/>
      <c r="T20" s="4"/>
    </row>
    <row r="21" customFormat="false" ht="21.6" hidden="false" customHeight="true" outlineLevel="0" collapsed="false">
      <c r="L21" s="266" t="n">
        <f aca="false">0.999963317850114+0.0000197726094908699*L20-0.00000592140621915705*L20^2+0.00000001574191723524*L20^3</f>
        <v>0.98024701974782</v>
      </c>
      <c r="M21" s="209"/>
      <c r="N21" s="218"/>
      <c r="O21" s="209"/>
      <c r="P21" s="266" t="n">
        <f aca="false">0.999963317850114+0.0000197726094908699*20-0.00000592140621915705*20^2+0.00000001574191723524*20^3</f>
        <v>0.998116142890151</v>
      </c>
      <c r="Q21" s="265"/>
      <c r="R21" s="265"/>
      <c r="S21" s="4"/>
      <c r="T21" s="4"/>
    </row>
    <row r="22" customFormat="false" ht="21.6" hidden="false" customHeight="true" outlineLevel="0" collapsed="false">
      <c r="L22" s="265"/>
      <c r="M22" s="18"/>
      <c r="N22" s="209"/>
      <c r="O22" s="209"/>
      <c r="P22" s="209"/>
      <c r="Q22" s="209"/>
      <c r="R22" s="265"/>
    </row>
  </sheetData>
  <sheetProtection sheet="true" password="d3f5" objects="true" scenarios="true" selectLockedCells="true"/>
  <mergeCells count="22">
    <mergeCell ref="N3:R3"/>
    <mergeCell ref="B4:X5"/>
    <mergeCell ref="P6:Z6"/>
    <mergeCell ref="B7:B8"/>
    <mergeCell ref="D7:D8"/>
    <mergeCell ref="F7:F8"/>
    <mergeCell ref="H7:H8"/>
    <mergeCell ref="J7:J8"/>
    <mergeCell ref="L7:L8"/>
    <mergeCell ref="N7:N8"/>
    <mergeCell ref="P7:P8"/>
    <mergeCell ref="R7:R8"/>
    <mergeCell ref="T7:T8"/>
    <mergeCell ref="V7:V8"/>
    <mergeCell ref="X7:X8"/>
    <mergeCell ref="Z7:Z8"/>
    <mergeCell ref="F12:T12"/>
    <mergeCell ref="L14:L16"/>
    <mergeCell ref="N14:N16"/>
    <mergeCell ref="P14:P16"/>
    <mergeCell ref="R14:R16"/>
    <mergeCell ref="L19:R19"/>
  </mergeCells>
  <dataValidations count="1">
    <dataValidation allowBlank="true" errorStyle="stop" operator="equal" showDropDown="false" showErrorMessage="true" showInputMessage="false" sqref="V16" type="list">
      <formula1>#ref!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E1:S110"/>
  <sheetViews>
    <sheetView showFormulas="false" showGridLines="false" showRowColHeaders="false" showZeros="true" rightToLeft="false" tabSelected="false" showOutlineSymbols="false" defaultGridColor="true" view="normal" topLeftCell="A1" colorId="64" zoomScale="90" zoomScaleNormal="90" zoomScalePageLayoutView="100" workbookViewId="0">
      <selection pane="topLeft" activeCell="I13" activeCellId="0" sqref="I13"/>
    </sheetView>
  </sheetViews>
  <sheetFormatPr defaultColWidth="15.40625" defaultRowHeight="12.8" zeroHeight="false" outlineLevelRow="0" outlineLevelCol="0"/>
  <cols>
    <col collapsed="false" customWidth="false" hidden="false" outlineLevel="0" max="1024" min="1" style="267" width="15.39"/>
  </cols>
  <sheetData>
    <row r="1" customFormat="false" ht="17.3" hidden="false" customHeight="true" outlineLevel="0" collapsed="false">
      <c r="E1" s="4"/>
      <c r="F1" s="4"/>
      <c r="G1" s="4"/>
      <c r="H1" s="4"/>
      <c r="I1" s="4"/>
      <c r="J1" s="4"/>
      <c r="K1" s="4"/>
      <c r="S1" s="4"/>
    </row>
    <row r="2" customFormat="false" ht="17.3" hidden="false" customHeight="true" outlineLevel="0" collapsed="false">
      <c r="E2" s="4"/>
      <c r="F2" s="4"/>
      <c r="G2" s="4"/>
      <c r="H2" s="4"/>
      <c r="I2" s="4"/>
      <c r="J2" s="4"/>
      <c r="K2" s="4"/>
      <c r="S2" s="4"/>
    </row>
    <row r="3" customFormat="false" ht="17.3" hidden="false" customHeight="true" outlineLevel="0" collapsed="false">
      <c r="E3" s="4"/>
      <c r="F3" s="4"/>
      <c r="G3" s="4"/>
      <c r="H3" s="4"/>
      <c r="I3" s="4"/>
      <c r="J3" s="4"/>
      <c r="K3" s="4"/>
      <c r="S3" s="4"/>
    </row>
    <row r="4" customFormat="false" ht="17.3" hidden="false" customHeight="true" outlineLevel="0" collapsed="false">
      <c r="E4" s="4"/>
      <c r="F4" s="4"/>
      <c r="G4" s="4"/>
      <c r="H4" s="4"/>
      <c r="I4" s="4"/>
      <c r="J4" s="4"/>
      <c r="K4" s="4"/>
      <c r="S4" s="4"/>
    </row>
    <row r="5" customFormat="false" ht="17.3" hidden="false" customHeight="true" outlineLevel="0" collapsed="false">
      <c r="E5" s="4"/>
      <c r="F5" s="4"/>
      <c r="G5" s="4"/>
      <c r="H5" s="4"/>
      <c r="I5" s="4"/>
      <c r="J5" s="4"/>
      <c r="K5" s="4"/>
      <c r="S5" s="4"/>
    </row>
    <row r="6" customFormat="false" ht="17.3" hidden="false" customHeight="true" outlineLevel="0" collapsed="false">
      <c r="E6" s="4"/>
      <c r="F6" s="4"/>
      <c r="G6" s="4"/>
      <c r="H6" s="4"/>
      <c r="I6" s="4"/>
      <c r="J6" s="4"/>
      <c r="K6" s="4"/>
      <c r="S6" s="4"/>
    </row>
    <row r="7" customFormat="false" ht="17.3" hidden="false" customHeight="true" outlineLevel="0" collapsed="false">
      <c r="E7" s="4"/>
      <c r="F7" s="4"/>
      <c r="G7" s="4"/>
      <c r="H7" s="4"/>
      <c r="I7" s="4"/>
      <c r="J7" s="4"/>
      <c r="K7" s="4"/>
      <c r="S7" s="4"/>
    </row>
    <row r="8" customFormat="false" ht="17.3" hidden="false" customHeight="true" outlineLevel="0" collapsed="false">
      <c r="E8" s="4"/>
      <c r="F8" s="4"/>
      <c r="G8" s="4"/>
      <c r="H8" s="4"/>
      <c r="I8" s="4"/>
      <c r="J8" s="4"/>
      <c r="K8" s="4"/>
      <c r="S8" s="4"/>
    </row>
    <row r="9" customFormat="false" ht="17.3" hidden="false" customHeight="true" outlineLevel="0" collapsed="false">
      <c r="E9" s="4"/>
      <c r="F9" s="4"/>
      <c r="G9" s="4"/>
      <c r="H9" s="4"/>
      <c r="I9" s="4"/>
      <c r="J9" s="4"/>
      <c r="K9" s="4"/>
      <c r="S9" s="4"/>
    </row>
    <row r="10" customFormat="false" ht="17.3" hidden="false" customHeight="true" outlineLevel="0" collapsed="false">
      <c r="E10" s="268" t="s">
        <v>248</v>
      </c>
      <c r="F10" s="268"/>
      <c r="G10" s="268"/>
      <c r="H10" s="268"/>
      <c r="I10" s="268"/>
      <c r="J10" s="268"/>
      <c r="K10" s="268"/>
      <c r="S10" s="4"/>
    </row>
    <row r="11" customFormat="false" ht="17.3" hidden="false" customHeight="true" outlineLevel="0" collapsed="false">
      <c r="E11" s="268"/>
      <c r="F11" s="268"/>
      <c r="G11" s="268"/>
      <c r="H11" s="268"/>
      <c r="I11" s="268"/>
      <c r="J11" s="268"/>
      <c r="K11" s="268"/>
      <c r="S11" s="105" t="n">
        <v>1</v>
      </c>
    </row>
    <row r="12" customFormat="false" ht="17.3" hidden="false" customHeight="true" outlineLevel="0" collapsed="false">
      <c r="F12" s="4"/>
      <c r="G12" s="4"/>
      <c r="H12" s="4"/>
      <c r="I12" s="4"/>
      <c r="S12" s="105" t="n">
        <v>2</v>
      </c>
    </row>
    <row r="13" customFormat="false" ht="20.7" hidden="false" customHeight="true" outlineLevel="0" collapsed="false">
      <c r="F13" s="269" t="s">
        <v>249</v>
      </c>
      <c r="G13" s="269"/>
      <c r="H13" s="269"/>
      <c r="I13" s="270" t="n">
        <v>88</v>
      </c>
      <c r="S13" s="105" t="n">
        <v>3</v>
      </c>
    </row>
    <row r="14" customFormat="false" ht="17.3" hidden="false" customHeight="true" outlineLevel="0" collapsed="false">
      <c r="S14" s="105" t="n">
        <v>4</v>
      </c>
    </row>
    <row r="15" customFormat="false" ht="17.3" hidden="false" customHeight="true" outlineLevel="0" collapsed="false">
      <c r="S15" s="105" t="n">
        <v>5</v>
      </c>
    </row>
    <row r="16" customFormat="false" ht="17.3" hidden="false" customHeight="true" outlineLevel="0" collapsed="false">
      <c r="S16" s="105" t="n">
        <v>6</v>
      </c>
    </row>
    <row r="17" customFormat="false" ht="17.3" hidden="false" customHeight="true" outlineLevel="0" collapsed="false">
      <c r="S17" s="105" t="n">
        <v>7</v>
      </c>
    </row>
    <row r="18" customFormat="false" ht="17.3" hidden="false" customHeight="true" outlineLevel="0" collapsed="false">
      <c r="S18" s="105" t="n">
        <v>8</v>
      </c>
    </row>
    <row r="19" customFormat="false" ht="17.3" hidden="false" customHeight="true" outlineLevel="0" collapsed="false">
      <c r="S19" s="105" t="n">
        <v>9</v>
      </c>
    </row>
    <row r="20" customFormat="false" ht="17.3" hidden="false" customHeight="true" outlineLevel="0" collapsed="false">
      <c r="S20" s="105" t="n">
        <v>10</v>
      </c>
    </row>
    <row r="21" customFormat="false" ht="17.3" hidden="false" customHeight="true" outlineLevel="0" collapsed="false">
      <c r="S21" s="105" t="n">
        <v>11</v>
      </c>
    </row>
    <row r="22" customFormat="false" ht="17.3" hidden="false" customHeight="true" outlineLevel="0" collapsed="false">
      <c r="S22" s="105" t="n">
        <v>12</v>
      </c>
    </row>
    <row r="23" customFormat="false" ht="17.3" hidden="false" customHeight="true" outlineLevel="0" collapsed="false">
      <c r="S23" s="105" t="n">
        <v>13</v>
      </c>
    </row>
    <row r="24" customFormat="false" ht="17.3" hidden="false" customHeight="true" outlineLevel="0" collapsed="false">
      <c r="S24" s="105" t="n">
        <v>14</v>
      </c>
    </row>
    <row r="25" customFormat="false" ht="17.3" hidden="false" customHeight="true" outlineLevel="0" collapsed="false">
      <c r="S25" s="105" t="n">
        <v>15</v>
      </c>
    </row>
    <row r="26" customFormat="false" ht="17.3" hidden="false" customHeight="true" outlineLevel="0" collapsed="false">
      <c r="S26" s="105" t="n">
        <v>16</v>
      </c>
    </row>
    <row r="27" customFormat="false" ht="17.3" hidden="false" customHeight="true" outlineLevel="0" collapsed="false">
      <c r="S27" s="105" t="n">
        <v>17</v>
      </c>
    </row>
    <row r="28" customFormat="false" ht="17.3" hidden="false" customHeight="true" outlineLevel="0" collapsed="false">
      <c r="S28" s="105" t="n">
        <v>18</v>
      </c>
    </row>
    <row r="29" customFormat="false" ht="17.3" hidden="false" customHeight="true" outlineLevel="0" collapsed="false">
      <c r="S29" s="105" t="n">
        <v>19</v>
      </c>
    </row>
    <row r="30" customFormat="false" ht="17.3" hidden="false" customHeight="true" outlineLevel="0" collapsed="false">
      <c r="S30" s="105" t="n">
        <v>20</v>
      </c>
    </row>
    <row r="31" customFormat="false" ht="17.3" hidden="false" customHeight="true" outlineLevel="0" collapsed="false">
      <c r="S31" s="105" t="n">
        <v>21</v>
      </c>
    </row>
    <row r="32" customFormat="false" ht="17.3" hidden="false" customHeight="true" outlineLevel="0" collapsed="false">
      <c r="S32" s="105" t="n">
        <v>22</v>
      </c>
    </row>
    <row r="33" customFormat="false" ht="17.3" hidden="false" customHeight="true" outlineLevel="0" collapsed="false">
      <c r="S33" s="105" t="n">
        <v>23</v>
      </c>
    </row>
    <row r="34" customFormat="false" ht="17.3" hidden="false" customHeight="true" outlineLevel="0" collapsed="false">
      <c r="S34" s="105" t="n">
        <v>24</v>
      </c>
    </row>
    <row r="35" customFormat="false" ht="17.3" hidden="false" customHeight="true" outlineLevel="0" collapsed="false">
      <c r="S35" s="105" t="n">
        <v>25</v>
      </c>
    </row>
    <row r="36" customFormat="false" ht="17.3" hidden="false" customHeight="true" outlineLevel="0" collapsed="false">
      <c r="S36" s="105" t="n">
        <v>26</v>
      </c>
    </row>
    <row r="37" customFormat="false" ht="17.3" hidden="false" customHeight="true" outlineLevel="0" collapsed="false">
      <c r="S37" s="105" t="n">
        <v>27</v>
      </c>
    </row>
    <row r="38" customFormat="false" ht="17.3" hidden="false" customHeight="true" outlineLevel="0" collapsed="false">
      <c r="S38" s="105" t="n">
        <v>28</v>
      </c>
    </row>
    <row r="39" customFormat="false" ht="17.3" hidden="false" customHeight="true" outlineLevel="0" collapsed="false">
      <c r="S39" s="105" t="n">
        <v>29</v>
      </c>
    </row>
    <row r="40" customFormat="false" ht="17.3" hidden="false" customHeight="true" outlineLevel="0" collapsed="false">
      <c r="S40" s="105" t="n">
        <v>30</v>
      </c>
    </row>
    <row r="41" customFormat="false" ht="17.3" hidden="false" customHeight="true" outlineLevel="0" collapsed="false">
      <c r="S41" s="105" t="n">
        <v>31</v>
      </c>
    </row>
    <row r="42" customFormat="false" ht="17.3" hidden="false" customHeight="true" outlineLevel="0" collapsed="false">
      <c r="S42" s="105" t="n">
        <v>32</v>
      </c>
    </row>
    <row r="43" customFormat="false" ht="17.3" hidden="false" customHeight="true" outlineLevel="0" collapsed="false">
      <c r="S43" s="105" t="n">
        <v>33</v>
      </c>
    </row>
    <row r="44" customFormat="false" ht="17.3" hidden="false" customHeight="true" outlineLevel="0" collapsed="false">
      <c r="S44" s="105" t="n">
        <v>34</v>
      </c>
    </row>
    <row r="45" customFormat="false" ht="12.8" hidden="false" customHeight="false" outlineLevel="0" collapsed="false">
      <c r="S45" s="105" t="n">
        <v>35</v>
      </c>
    </row>
    <row r="46" customFormat="false" ht="12.8" hidden="false" customHeight="false" outlineLevel="0" collapsed="false">
      <c r="S46" s="105" t="n">
        <v>36</v>
      </c>
    </row>
    <row r="47" customFormat="false" ht="12.8" hidden="false" customHeight="false" outlineLevel="0" collapsed="false">
      <c r="S47" s="105" t="n">
        <v>37</v>
      </c>
    </row>
    <row r="48" customFormat="false" ht="12.8" hidden="false" customHeight="false" outlineLevel="0" collapsed="false">
      <c r="S48" s="105" t="n">
        <v>38</v>
      </c>
    </row>
    <row r="49" customFormat="false" ht="12.8" hidden="false" customHeight="false" outlineLevel="0" collapsed="false">
      <c r="S49" s="105" t="n">
        <v>39</v>
      </c>
    </row>
    <row r="50" customFormat="false" ht="12.8" hidden="false" customHeight="false" outlineLevel="0" collapsed="false">
      <c r="S50" s="105" t="n">
        <v>40</v>
      </c>
    </row>
    <row r="51" customFormat="false" ht="12.8" hidden="false" customHeight="false" outlineLevel="0" collapsed="false">
      <c r="S51" s="105" t="n">
        <v>41</v>
      </c>
    </row>
    <row r="52" customFormat="false" ht="12.8" hidden="false" customHeight="false" outlineLevel="0" collapsed="false">
      <c r="S52" s="105" t="n">
        <v>42</v>
      </c>
    </row>
    <row r="53" customFormat="false" ht="12.8" hidden="false" customHeight="false" outlineLevel="0" collapsed="false">
      <c r="S53" s="105" t="n">
        <v>43</v>
      </c>
    </row>
    <row r="54" customFormat="false" ht="12.8" hidden="false" customHeight="false" outlineLevel="0" collapsed="false">
      <c r="S54" s="105" t="n">
        <v>44</v>
      </c>
    </row>
    <row r="55" customFormat="false" ht="12.8" hidden="false" customHeight="false" outlineLevel="0" collapsed="false">
      <c r="S55" s="105" t="n">
        <v>45</v>
      </c>
    </row>
    <row r="56" customFormat="false" ht="12.8" hidden="false" customHeight="false" outlineLevel="0" collapsed="false">
      <c r="S56" s="105" t="n">
        <v>46</v>
      </c>
    </row>
    <row r="57" customFormat="false" ht="12.8" hidden="false" customHeight="false" outlineLevel="0" collapsed="false">
      <c r="S57" s="105" t="n">
        <v>47</v>
      </c>
    </row>
    <row r="58" customFormat="false" ht="12.8" hidden="false" customHeight="false" outlineLevel="0" collapsed="false">
      <c r="S58" s="105" t="n">
        <v>48</v>
      </c>
    </row>
    <row r="59" customFormat="false" ht="12.8" hidden="false" customHeight="false" outlineLevel="0" collapsed="false">
      <c r="S59" s="105" t="n">
        <v>49</v>
      </c>
    </row>
    <row r="60" customFormat="false" ht="12.8" hidden="false" customHeight="false" outlineLevel="0" collapsed="false">
      <c r="S60" s="105" t="n">
        <v>50</v>
      </c>
    </row>
    <row r="61" customFormat="false" ht="12.8" hidden="false" customHeight="false" outlineLevel="0" collapsed="false">
      <c r="S61" s="105" t="n">
        <v>51</v>
      </c>
    </row>
    <row r="62" customFormat="false" ht="12.8" hidden="false" customHeight="false" outlineLevel="0" collapsed="false">
      <c r="S62" s="105" t="n">
        <v>52</v>
      </c>
    </row>
    <row r="63" customFormat="false" ht="12.8" hidden="false" customHeight="false" outlineLevel="0" collapsed="false">
      <c r="S63" s="105" t="n">
        <v>53</v>
      </c>
    </row>
    <row r="64" customFormat="false" ht="12.8" hidden="false" customHeight="false" outlineLevel="0" collapsed="false">
      <c r="S64" s="105" t="n">
        <v>54</v>
      </c>
    </row>
    <row r="65" customFormat="false" ht="12.8" hidden="false" customHeight="false" outlineLevel="0" collapsed="false">
      <c r="S65" s="105" t="n">
        <v>55</v>
      </c>
    </row>
    <row r="66" customFormat="false" ht="12.8" hidden="false" customHeight="false" outlineLevel="0" collapsed="false">
      <c r="S66" s="105" t="n">
        <v>56</v>
      </c>
    </row>
    <row r="67" customFormat="false" ht="12.8" hidden="false" customHeight="false" outlineLevel="0" collapsed="false">
      <c r="S67" s="105" t="n">
        <v>57</v>
      </c>
    </row>
    <row r="68" customFormat="false" ht="12.8" hidden="false" customHeight="false" outlineLevel="0" collapsed="false">
      <c r="S68" s="105" t="n">
        <v>58</v>
      </c>
    </row>
    <row r="69" customFormat="false" ht="12.8" hidden="false" customHeight="false" outlineLevel="0" collapsed="false">
      <c r="S69" s="105" t="n">
        <v>59</v>
      </c>
    </row>
    <row r="70" customFormat="false" ht="12.8" hidden="false" customHeight="false" outlineLevel="0" collapsed="false">
      <c r="S70" s="105" t="n">
        <v>60</v>
      </c>
    </row>
    <row r="71" customFormat="false" ht="12.8" hidden="false" customHeight="false" outlineLevel="0" collapsed="false">
      <c r="S71" s="105" t="n">
        <v>61</v>
      </c>
    </row>
    <row r="72" customFormat="false" ht="12.8" hidden="false" customHeight="false" outlineLevel="0" collapsed="false">
      <c r="S72" s="105" t="n">
        <v>62</v>
      </c>
    </row>
    <row r="73" customFormat="false" ht="12.8" hidden="false" customHeight="false" outlineLevel="0" collapsed="false">
      <c r="S73" s="105" t="n">
        <v>63</v>
      </c>
    </row>
    <row r="74" customFormat="false" ht="12.8" hidden="false" customHeight="false" outlineLevel="0" collapsed="false">
      <c r="S74" s="105" t="n">
        <v>64</v>
      </c>
    </row>
    <row r="75" customFormat="false" ht="12.8" hidden="false" customHeight="false" outlineLevel="0" collapsed="false">
      <c r="S75" s="105" t="n">
        <v>65</v>
      </c>
    </row>
    <row r="76" customFormat="false" ht="12.8" hidden="false" customHeight="false" outlineLevel="0" collapsed="false">
      <c r="S76" s="105" t="n">
        <v>66</v>
      </c>
    </row>
    <row r="77" customFormat="false" ht="12.8" hidden="false" customHeight="false" outlineLevel="0" collapsed="false">
      <c r="S77" s="105" t="n">
        <v>67</v>
      </c>
    </row>
    <row r="78" customFormat="false" ht="12.8" hidden="false" customHeight="false" outlineLevel="0" collapsed="false">
      <c r="S78" s="105" t="n">
        <v>68</v>
      </c>
    </row>
    <row r="79" customFormat="false" ht="12.8" hidden="false" customHeight="false" outlineLevel="0" collapsed="false">
      <c r="S79" s="105" t="n">
        <v>69</v>
      </c>
    </row>
    <row r="80" customFormat="false" ht="12.8" hidden="false" customHeight="false" outlineLevel="0" collapsed="false">
      <c r="S80" s="105" t="n">
        <v>70</v>
      </c>
    </row>
    <row r="81" customFormat="false" ht="12.8" hidden="false" customHeight="false" outlineLevel="0" collapsed="false">
      <c r="S81" s="105" t="n">
        <v>71</v>
      </c>
    </row>
    <row r="82" customFormat="false" ht="12.8" hidden="false" customHeight="false" outlineLevel="0" collapsed="false">
      <c r="S82" s="105" t="n">
        <v>72</v>
      </c>
    </row>
    <row r="83" customFormat="false" ht="12.8" hidden="false" customHeight="false" outlineLevel="0" collapsed="false">
      <c r="S83" s="105" t="n">
        <v>73</v>
      </c>
    </row>
    <row r="84" customFormat="false" ht="12.8" hidden="false" customHeight="false" outlineLevel="0" collapsed="false">
      <c r="S84" s="105" t="n">
        <v>74</v>
      </c>
    </row>
    <row r="85" customFormat="false" ht="12.8" hidden="false" customHeight="false" outlineLevel="0" collapsed="false">
      <c r="S85" s="105" t="n">
        <v>75</v>
      </c>
    </row>
    <row r="86" customFormat="false" ht="12.8" hidden="false" customHeight="false" outlineLevel="0" collapsed="false">
      <c r="S86" s="105" t="n">
        <v>76</v>
      </c>
    </row>
    <row r="87" customFormat="false" ht="12.8" hidden="false" customHeight="false" outlineLevel="0" collapsed="false">
      <c r="S87" s="105" t="n">
        <v>77</v>
      </c>
    </row>
    <row r="88" customFormat="false" ht="12.8" hidden="false" customHeight="false" outlineLevel="0" collapsed="false">
      <c r="S88" s="105" t="n">
        <v>78</v>
      </c>
    </row>
    <row r="89" customFormat="false" ht="12.8" hidden="false" customHeight="false" outlineLevel="0" collapsed="false">
      <c r="S89" s="105" t="n">
        <v>79</v>
      </c>
    </row>
    <row r="90" customFormat="false" ht="12.8" hidden="false" customHeight="false" outlineLevel="0" collapsed="false">
      <c r="S90" s="105" t="n">
        <v>80</v>
      </c>
    </row>
    <row r="91" customFormat="false" ht="12.8" hidden="false" customHeight="false" outlineLevel="0" collapsed="false">
      <c r="S91" s="105" t="n">
        <v>81</v>
      </c>
    </row>
    <row r="92" customFormat="false" ht="12.8" hidden="false" customHeight="false" outlineLevel="0" collapsed="false">
      <c r="S92" s="105" t="n">
        <v>82</v>
      </c>
    </row>
    <row r="93" customFormat="false" ht="12.8" hidden="false" customHeight="false" outlineLevel="0" collapsed="false">
      <c r="S93" s="105" t="n">
        <v>83</v>
      </c>
    </row>
    <row r="94" customFormat="false" ht="12.8" hidden="false" customHeight="false" outlineLevel="0" collapsed="false">
      <c r="S94" s="105" t="n">
        <v>84</v>
      </c>
    </row>
    <row r="95" customFormat="false" ht="12.8" hidden="false" customHeight="false" outlineLevel="0" collapsed="false">
      <c r="S95" s="105" t="n">
        <v>85</v>
      </c>
    </row>
    <row r="96" customFormat="false" ht="12.8" hidden="false" customHeight="false" outlineLevel="0" collapsed="false">
      <c r="S96" s="105" t="n">
        <v>86</v>
      </c>
    </row>
    <row r="97" customFormat="false" ht="12.8" hidden="false" customHeight="false" outlineLevel="0" collapsed="false">
      <c r="S97" s="105" t="n">
        <v>87</v>
      </c>
    </row>
    <row r="98" customFormat="false" ht="12.8" hidden="false" customHeight="false" outlineLevel="0" collapsed="false">
      <c r="S98" s="105" t="n">
        <v>88</v>
      </c>
    </row>
    <row r="99" customFormat="false" ht="12.8" hidden="false" customHeight="false" outlineLevel="0" collapsed="false">
      <c r="S99" s="105" t="n">
        <v>89</v>
      </c>
    </row>
    <row r="100" customFormat="false" ht="12.8" hidden="false" customHeight="false" outlineLevel="0" collapsed="false">
      <c r="S100" s="105" t="n">
        <v>90</v>
      </c>
    </row>
    <row r="101" customFormat="false" ht="12.8" hidden="false" customHeight="false" outlineLevel="0" collapsed="false">
      <c r="S101" s="105" t="n">
        <v>91</v>
      </c>
    </row>
    <row r="102" customFormat="false" ht="12.8" hidden="false" customHeight="false" outlineLevel="0" collapsed="false">
      <c r="S102" s="105" t="n">
        <v>92</v>
      </c>
    </row>
    <row r="103" customFormat="false" ht="12.8" hidden="false" customHeight="false" outlineLevel="0" collapsed="false">
      <c r="S103" s="105" t="n">
        <v>93</v>
      </c>
    </row>
    <row r="104" customFormat="false" ht="12.8" hidden="false" customHeight="false" outlineLevel="0" collapsed="false">
      <c r="S104" s="105" t="n">
        <v>94</v>
      </c>
    </row>
    <row r="105" customFormat="false" ht="12.8" hidden="false" customHeight="false" outlineLevel="0" collapsed="false">
      <c r="S105" s="105" t="n">
        <v>95</v>
      </c>
    </row>
    <row r="106" customFormat="false" ht="12.8" hidden="false" customHeight="false" outlineLevel="0" collapsed="false">
      <c r="S106" s="105" t="n">
        <v>96</v>
      </c>
    </row>
    <row r="107" customFormat="false" ht="12.8" hidden="false" customHeight="false" outlineLevel="0" collapsed="false">
      <c r="S107" s="105" t="n">
        <v>97</v>
      </c>
    </row>
    <row r="108" customFormat="false" ht="12.8" hidden="false" customHeight="false" outlineLevel="0" collapsed="false">
      <c r="S108" s="105" t="n">
        <v>98</v>
      </c>
    </row>
    <row r="109" customFormat="false" ht="12.8" hidden="false" customHeight="false" outlineLevel="0" collapsed="false">
      <c r="S109" s="105" t="n">
        <v>99</v>
      </c>
    </row>
    <row r="110" customFormat="false" ht="12.8" hidden="false" customHeight="false" outlineLevel="0" collapsed="false">
      <c r="S110" s="105" t="n">
        <v>100</v>
      </c>
    </row>
  </sheetData>
  <sheetProtection sheet="true" password="d3f5" objects="true" scenarios="true" selectLockedCells="true"/>
  <mergeCells count="2">
    <mergeCell ref="E10:K11"/>
    <mergeCell ref="F13:H13"/>
  </mergeCells>
  <dataValidations count="1">
    <dataValidation allowBlank="true" errorStyle="stop" operator="equal" showDropDown="false" showErrorMessage="true" showInputMessage="false" sqref="I13" type="list">
      <formula1>S11:S110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E1:S110"/>
  <sheetViews>
    <sheetView showFormulas="false" showGridLines="false" showRowColHeaders="false" showZeros="true" rightToLeft="false" tabSelected="false" showOutlineSymbols="false" defaultGridColor="true" view="normal" topLeftCell="A4" colorId="64" zoomScale="90" zoomScaleNormal="90" zoomScalePageLayoutView="100" workbookViewId="0">
      <selection pane="topLeft" activeCell="I13" activeCellId="0" sqref="I13"/>
    </sheetView>
  </sheetViews>
  <sheetFormatPr defaultColWidth="15.40625" defaultRowHeight="12.8" zeroHeight="false" outlineLevelRow="0" outlineLevelCol="0"/>
  <cols>
    <col collapsed="false" customWidth="false" hidden="false" outlineLevel="0" max="1024" min="1" style="267" width="15.39"/>
  </cols>
  <sheetData>
    <row r="1" customFormat="false" ht="17.3" hidden="false" customHeight="true" outlineLevel="0" collapsed="false">
      <c r="E1" s="4"/>
      <c r="F1" s="4"/>
      <c r="G1" s="4"/>
      <c r="H1" s="4"/>
      <c r="I1" s="4"/>
      <c r="J1" s="4"/>
      <c r="K1" s="4"/>
      <c r="S1" s="4"/>
    </row>
    <row r="2" customFormat="false" ht="17.3" hidden="false" customHeight="true" outlineLevel="0" collapsed="false">
      <c r="E2" s="4"/>
      <c r="F2" s="4"/>
      <c r="G2" s="4"/>
      <c r="H2" s="4"/>
      <c r="I2" s="4"/>
      <c r="J2" s="4"/>
      <c r="K2" s="4"/>
      <c r="S2" s="4"/>
    </row>
    <row r="3" customFormat="false" ht="17.3" hidden="false" customHeight="true" outlineLevel="0" collapsed="false">
      <c r="E3" s="4"/>
      <c r="F3" s="4"/>
      <c r="G3" s="4"/>
      <c r="H3" s="4"/>
      <c r="I3" s="4"/>
      <c r="J3" s="4"/>
      <c r="K3" s="4"/>
      <c r="S3" s="4"/>
    </row>
    <row r="4" customFormat="false" ht="17.3" hidden="false" customHeight="true" outlineLevel="0" collapsed="false">
      <c r="E4" s="4"/>
      <c r="F4" s="4"/>
      <c r="G4" s="4"/>
      <c r="H4" s="4"/>
      <c r="I4" s="4"/>
      <c r="J4" s="4"/>
      <c r="K4" s="4"/>
      <c r="S4" s="4"/>
    </row>
    <row r="5" customFormat="false" ht="17.3" hidden="false" customHeight="true" outlineLevel="0" collapsed="false">
      <c r="E5" s="4"/>
      <c r="F5" s="4"/>
      <c r="G5" s="4"/>
      <c r="H5" s="4"/>
      <c r="I5" s="4"/>
      <c r="J5" s="4"/>
      <c r="K5" s="4"/>
      <c r="S5" s="4"/>
    </row>
    <row r="6" customFormat="false" ht="17.3" hidden="false" customHeight="true" outlineLevel="0" collapsed="false">
      <c r="E6" s="4"/>
      <c r="F6" s="4"/>
      <c r="G6" s="4"/>
      <c r="H6" s="4"/>
      <c r="I6" s="4"/>
      <c r="J6" s="4"/>
      <c r="K6" s="4"/>
      <c r="S6" s="4"/>
    </row>
    <row r="7" customFormat="false" ht="17.3" hidden="false" customHeight="true" outlineLevel="0" collapsed="false">
      <c r="E7" s="4"/>
      <c r="F7" s="4"/>
      <c r="G7" s="4"/>
      <c r="H7" s="4"/>
      <c r="I7" s="4"/>
      <c r="J7" s="4"/>
      <c r="K7" s="4"/>
      <c r="S7" s="4"/>
    </row>
    <row r="8" customFormat="false" ht="17.3" hidden="false" customHeight="true" outlineLevel="0" collapsed="false">
      <c r="E8" s="4"/>
      <c r="F8" s="4"/>
      <c r="G8" s="4"/>
      <c r="H8" s="4"/>
      <c r="I8" s="4"/>
      <c r="J8" s="4"/>
      <c r="K8" s="4"/>
      <c r="S8" s="4"/>
    </row>
    <row r="9" customFormat="false" ht="17.3" hidden="false" customHeight="true" outlineLevel="0" collapsed="false">
      <c r="E9" s="4"/>
      <c r="F9" s="4"/>
      <c r="G9" s="4"/>
      <c r="H9" s="4"/>
      <c r="I9" s="4"/>
      <c r="J9" s="4"/>
      <c r="K9" s="4"/>
      <c r="S9" s="4"/>
    </row>
    <row r="10" customFormat="false" ht="17.3" hidden="false" customHeight="true" outlineLevel="0" collapsed="false">
      <c r="E10" s="268" t="s">
        <v>250</v>
      </c>
      <c r="F10" s="268"/>
      <c r="G10" s="268"/>
      <c r="H10" s="268"/>
      <c r="I10" s="268"/>
      <c r="J10" s="268"/>
      <c r="K10" s="268"/>
      <c r="S10" s="4"/>
    </row>
    <row r="11" customFormat="false" ht="17.3" hidden="false" customHeight="true" outlineLevel="0" collapsed="false">
      <c r="E11" s="268"/>
      <c r="F11" s="268"/>
      <c r="G11" s="268"/>
      <c r="H11" s="268"/>
      <c r="I11" s="268"/>
      <c r="J11" s="268"/>
      <c r="K11" s="268"/>
      <c r="S11" s="105" t="n">
        <v>1</v>
      </c>
    </row>
    <row r="12" customFormat="false" ht="17.3" hidden="false" customHeight="true" outlineLevel="0" collapsed="false">
      <c r="F12" s="4"/>
      <c r="G12" s="4"/>
      <c r="H12" s="4"/>
      <c r="I12" s="4"/>
      <c r="S12" s="105" t="n">
        <v>2</v>
      </c>
    </row>
    <row r="13" customFormat="false" ht="20.7" hidden="false" customHeight="true" outlineLevel="0" collapsed="false">
      <c r="F13" s="269" t="s">
        <v>251</v>
      </c>
      <c r="G13" s="269"/>
      <c r="H13" s="269"/>
      <c r="I13" s="270" t="n">
        <v>10</v>
      </c>
      <c r="S13" s="105" t="n">
        <v>3</v>
      </c>
    </row>
    <row r="14" customFormat="false" ht="17.3" hidden="false" customHeight="true" outlineLevel="0" collapsed="false">
      <c r="S14" s="105" t="n">
        <v>4</v>
      </c>
    </row>
    <row r="15" customFormat="false" ht="17.3" hidden="false" customHeight="true" outlineLevel="0" collapsed="false">
      <c r="S15" s="105" t="n">
        <v>5</v>
      </c>
    </row>
    <row r="16" customFormat="false" ht="17.3" hidden="false" customHeight="true" outlineLevel="0" collapsed="false">
      <c r="S16" s="105" t="n">
        <v>6</v>
      </c>
    </row>
    <row r="17" customFormat="false" ht="17.3" hidden="false" customHeight="true" outlineLevel="0" collapsed="false">
      <c r="S17" s="105" t="n">
        <v>7</v>
      </c>
    </row>
    <row r="18" customFormat="false" ht="17.3" hidden="false" customHeight="true" outlineLevel="0" collapsed="false">
      <c r="S18" s="105" t="n">
        <v>8</v>
      </c>
    </row>
    <row r="19" customFormat="false" ht="17.3" hidden="false" customHeight="true" outlineLevel="0" collapsed="false">
      <c r="S19" s="105" t="n">
        <v>9</v>
      </c>
    </row>
    <row r="20" customFormat="false" ht="17.3" hidden="false" customHeight="true" outlineLevel="0" collapsed="false">
      <c r="S20" s="105" t="n">
        <v>10</v>
      </c>
    </row>
    <row r="21" customFormat="false" ht="17.3" hidden="false" customHeight="true" outlineLevel="0" collapsed="false">
      <c r="S21" s="105" t="n">
        <v>11</v>
      </c>
    </row>
    <row r="22" customFormat="false" ht="17.3" hidden="false" customHeight="true" outlineLevel="0" collapsed="false">
      <c r="S22" s="105" t="n">
        <v>12</v>
      </c>
    </row>
    <row r="23" customFormat="false" ht="17.3" hidden="false" customHeight="true" outlineLevel="0" collapsed="false">
      <c r="S23" s="105" t="n">
        <v>13</v>
      </c>
    </row>
    <row r="24" customFormat="false" ht="17.3" hidden="false" customHeight="true" outlineLevel="0" collapsed="false">
      <c r="S24" s="105" t="n">
        <v>14</v>
      </c>
    </row>
    <row r="25" customFormat="false" ht="17.3" hidden="false" customHeight="true" outlineLevel="0" collapsed="false">
      <c r="S25" s="105" t="n">
        <v>15</v>
      </c>
    </row>
    <row r="26" customFormat="false" ht="17.3" hidden="false" customHeight="true" outlineLevel="0" collapsed="false">
      <c r="S26" s="105" t="n">
        <v>16</v>
      </c>
    </row>
    <row r="27" customFormat="false" ht="17.3" hidden="false" customHeight="true" outlineLevel="0" collapsed="false">
      <c r="S27" s="105" t="n">
        <v>17</v>
      </c>
    </row>
    <row r="28" customFormat="false" ht="17.3" hidden="false" customHeight="true" outlineLevel="0" collapsed="false">
      <c r="S28" s="105" t="n">
        <v>18</v>
      </c>
    </row>
    <row r="29" customFormat="false" ht="17.3" hidden="false" customHeight="true" outlineLevel="0" collapsed="false">
      <c r="S29" s="105" t="n">
        <v>19</v>
      </c>
    </row>
    <row r="30" customFormat="false" ht="17.3" hidden="false" customHeight="true" outlineLevel="0" collapsed="false">
      <c r="S30" s="105" t="n">
        <v>20</v>
      </c>
    </row>
    <row r="31" customFormat="false" ht="17.3" hidden="false" customHeight="true" outlineLevel="0" collapsed="false">
      <c r="S31" s="105" t="n">
        <v>21</v>
      </c>
    </row>
    <row r="32" customFormat="false" ht="17.3" hidden="false" customHeight="true" outlineLevel="0" collapsed="false">
      <c r="S32" s="105" t="n">
        <v>22</v>
      </c>
    </row>
    <row r="33" customFormat="false" ht="17.3" hidden="false" customHeight="true" outlineLevel="0" collapsed="false">
      <c r="S33" s="105" t="n">
        <v>23</v>
      </c>
    </row>
    <row r="34" customFormat="false" ht="17.3" hidden="false" customHeight="true" outlineLevel="0" collapsed="false">
      <c r="S34" s="105" t="n">
        <v>24</v>
      </c>
    </row>
    <row r="35" customFormat="false" ht="17.3" hidden="false" customHeight="true" outlineLevel="0" collapsed="false">
      <c r="S35" s="105" t="n">
        <v>25</v>
      </c>
    </row>
    <row r="36" customFormat="false" ht="17.3" hidden="false" customHeight="true" outlineLevel="0" collapsed="false">
      <c r="S36" s="105" t="n">
        <v>26</v>
      </c>
    </row>
    <row r="37" customFormat="false" ht="17.3" hidden="false" customHeight="true" outlineLevel="0" collapsed="false">
      <c r="S37" s="105" t="n">
        <v>27</v>
      </c>
    </row>
    <row r="38" customFormat="false" ht="17.3" hidden="false" customHeight="true" outlineLevel="0" collapsed="false">
      <c r="S38" s="105" t="n">
        <v>28</v>
      </c>
    </row>
    <row r="39" customFormat="false" ht="17.3" hidden="false" customHeight="true" outlineLevel="0" collapsed="false">
      <c r="S39" s="105" t="n">
        <v>29</v>
      </c>
    </row>
    <row r="40" customFormat="false" ht="17.3" hidden="false" customHeight="true" outlineLevel="0" collapsed="false">
      <c r="S40" s="105" t="n">
        <v>30</v>
      </c>
    </row>
    <row r="41" customFormat="false" ht="17.3" hidden="false" customHeight="true" outlineLevel="0" collapsed="false">
      <c r="S41" s="105" t="n">
        <v>31</v>
      </c>
    </row>
    <row r="42" customFormat="false" ht="17.3" hidden="false" customHeight="true" outlineLevel="0" collapsed="false">
      <c r="S42" s="105" t="n">
        <v>32</v>
      </c>
    </row>
    <row r="43" customFormat="false" ht="17.3" hidden="false" customHeight="true" outlineLevel="0" collapsed="false">
      <c r="S43" s="105" t="n">
        <v>33</v>
      </c>
    </row>
    <row r="44" customFormat="false" ht="17.3" hidden="false" customHeight="true" outlineLevel="0" collapsed="false">
      <c r="S44" s="105" t="n">
        <v>34</v>
      </c>
    </row>
    <row r="45" customFormat="false" ht="12.8" hidden="false" customHeight="false" outlineLevel="0" collapsed="false">
      <c r="S45" s="105" t="n">
        <v>35</v>
      </c>
    </row>
    <row r="46" customFormat="false" ht="12.8" hidden="false" customHeight="false" outlineLevel="0" collapsed="false">
      <c r="S46" s="105" t="n">
        <v>36</v>
      </c>
    </row>
    <row r="47" customFormat="false" ht="12.8" hidden="false" customHeight="false" outlineLevel="0" collapsed="false">
      <c r="S47" s="105" t="n">
        <v>37</v>
      </c>
    </row>
    <row r="48" customFormat="false" ht="12.8" hidden="false" customHeight="false" outlineLevel="0" collapsed="false">
      <c r="S48" s="105" t="n">
        <v>38</v>
      </c>
    </row>
    <row r="49" customFormat="false" ht="12.8" hidden="false" customHeight="false" outlineLevel="0" collapsed="false">
      <c r="S49" s="105" t="n">
        <v>39</v>
      </c>
    </row>
    <row r="50" customFormat="false" ht="12.8" hidden="false" customHeight="false" outlineLevel="0" collapsed="false">
      <c r="S50" s="105" t="n">
        <v>40</v>
      </c>
    </row>
    <row r="51" customFormat="false" ht="12.8" hidden="false" customHeight="false" outlineLevel="0" collapsed="false">
      <c r="S51" s="105" t="n">
        <v>41</v>
      </c>
    </row>
    <row r="52" customFormat="false" ht="12.8" hidden="false" customHeight="false" outlineLevel="0" collapsed="false">
      <c r="S52" s="105" t="n">
        <v>42</v>
      </c>
    </row>
    <row r="53" customFormat="false" ht="12.8" hidden="false" customHeight="false" outlineLevel="0" collapsed="false">
      <c r="S53" s="105" t="n">
        <v>43</v>
      </c>
    </row>
    <row r="54" customFormat="false" ht="12.8" hidden="false" customHeight="false" outlineLevel="0" collapsed="false">
      <c r="S54" s="105" t="n">
        <v>44</v>
      </c>
    </row>
    <row r="55" customFormat="false" ht="12.8" hidden="false" customHeight="false" outlineLevel="0" collapsed="false">
      <c r="S55" s="105" t="n">
        <v>45</v>
      </c>
    </row>
    <row r="56" customFormat="false" ht="12.8" hidden="false" customHeight="false" outlineLevel="0" collapsed="false">
      <c r="S56" s="105" t="n">
        <v>46</v>
      </c>
    </row>
    <row r="57" customFormat="false" ht="12.8" hidden="false" customHeight="false" outlineLevel="0" collapsed="false">
      <c r="S57" s="105" t="n">
        <v>47</v>
      </c>
    </row>
    <row r="58" customFormat="false" ht="12.8" hidden="false" customHeight="false" outlineLevel="0" collapsed="false">
      <c r="S58" s="105" t="n">
        <v>48</v>
      </c>
    </row>
    <row r="59" customFormat="false" ht="12.8" hidden="false" customHeight="false" outlineLevel="0" collapsed="false">
      <c r="S59" s="105" t="n">
        <v>49</v>
      </c>
    </row>
    <row r="60" customFormat="false" ht="12.8" hidden="false" customHeight="false" outlineLevel="0" collapsed="false">
      <c r="S60" s="105" t="n">
        <v>50</v>
      </c>
    </row>
    <row r="61" customFormat="false" ht="12.8" hidden="false" customHeight="false" outlineLevel="0" collapsed="false">
      <c r="S61" s="105" t="n">
        <v>51</v>
      </c>
    </row>
    <row r="62" customFormat="false" ht="12.8" hidden="false" customHeight="false" outlineLevel="0" collapsed="false">
      <c r="S62" s="105" t="n">
        <v>52</v>
      </c>
    </row>
    <row r="63" customFormat="false" ht="12.8" hidden="false" customHeight="false" outlineLevel="0" collapsed="false">
      <c r="S63" s="105" t="n">
        <v>53</v>
      </c>
    </row>
    <row r="64" customFormat="false" ht="12.8" hidden="false" customHeight="false" outlineLevel="0" collapsed="false">
      <c r="S64" s="105" t="n">
        <v>54</v>
      </c>
    </row>
    <row r="65" customFormat="false" ht="12.8" hidden="false" customHeight="false" outlineLevel="0" collapsed="false">
      <c r="S65" s="105" t="n">
        <v>55</v>
      </c>
    </row>
    <row r="66" customFormat="false" ht="12.8" hidden="false" customHeight="false" outlineLevel="0" collapsed="false">
      <c r="S66" s="105" t="n">
        <v>56</v>
      </c>
    </row>
    <row r="67" customFormat="false" ht="12.8" hidden="false" customHeight="false" outlineLevel="0" collapsed="false">
      <c r="S67" s="105" t="n">
        <v>57</v>
      </c>
    </row>
    <row r="68" customFormat="false" ht="12.8" hidden="false" customHeight="false" outlineLevel="0" collapsed="false">
      <c r="S68" s="105" t="n">
        <v>58</v>
      </c>
    </row>
    <row r="69" customFormat="false" ht="12.8" hidden="false" customHeight="false" outlineLevel="0" collapsed="false">
      <c r="S69" s="105" t="n">
        <v>59</v>
      </c>
    </row>
    <row r="70" customFormat="false" ht="12.8" hidden="false" customHeight="false" outlineLevel="0" collapsed="false">
      <c r="S70" s="105" t="n">
        <v>60</v>
      </c>
    </row>
    <row r="71" customFormat="false" ht="12.8" hidden="false" customHeight="false" outlineLevel="0" collapsed="false">
      <c r="S71" s="105" t="n">
        <v>61</v>
      </c>
    </row>
    <row r="72" customFormat="false" ht="12.8" hidden="false" customHeight="false" outlineLevel="0" collapsed="false">
      <c r="S72" s="105" t="n">
        <v>62</v>
      </c>
    </row>
    <row r="73" customFormat="false" ht="12.8" hidden="false" customHeight="false" outlineLevel="0" collapsed="false">
      <c r="S73" s="105" t="n">
        <v>63</v>
      </c>
    </row>
    <row r="74" customFormat="false" ht="12.8" hidden="false" customHeight="false" outlineLevel="0" collapsed="false">
      <c r="S74" s="105" t="n">
        <v>64</v>
      </c>
    </row>
    <row r="75" customFormat="false" ht="12.8" hidden="false" customHeight="false" outlineLevel="0" collapsed="false">
      <c r="S75" s="105" t="n">
        <v>65</v>
      </c>
    </row>
    <row r="76" customFormat="false" ht="12.8" hidden="false" customHeight="false" outlineLevel="0" collapsed="false">
      <c r="S76" s="105" t="n">
        <v>66</v>
      </c>
    </row>
    <row r="77" customFormat="false" ht="12.8" hidden="false" customHeight="false" outlineLevel="0" collapsed="false">
      <c r="S77" s="105" t="n">
        <v>67</v>
      </c>
    </row>
    <row r="78" customFormat="false" ht="12.8" hidden="false" customHeight="false" outlineLevel="0" collapsed="false">
      <c r="S78" s="105" t="n">
        <v>68</v>
      </c>
    </row>
    <row r="79" customFormat="false" ht="12.8" hidden="false" customHeight="false" outlineLevel="0" collapsed="false">
      <c r="S79" s="105" t="n">
        <v>69</v>
      </c>
    </row>
    <row r="80" customFormat="false" ht="12.8" hidden="false" customHeight="false" outlineLevel="0" collapsed="false">
      <c r="S80" s="105" t="n">
        <v>70</v>
      </c>
    </row>
    <row r="81" customFormat="false" ht="12.8" hidden="false" customHeight="false" outlineLevel="0" collapsed="false">
      <c r="S81" s="105" t="n">
        <v>71</v>
      </c>
    </row>
    <row r="82" customFormat="false" ht="12.8" hidden="false" customHeight="false" outlineLevel="0" collapsed="false">
      <c r="S82" s="105" t="n">
        <v>72</v>
      </c>
    </row>
    <row r="83" customFormat="false" ht="12.8" hidden="false" customHeight="false" outlineLevel="0" collapsed="false">
      <c r="S83" s="105" t="n">
        <v>73</v>
      </c>
    </row>
    <row r="84" customFormat="false" ht="12.8" hidden="false" customHeight="false" outlineLevel="0" collapsed="false">
      <c r="S84" s="105" t="n">
        <v>74</v>
      </c>
    </row>
    <row r="85" customFormat="false" ht="12.8" hidden="false" customHeight="false" outlineLevel="0" collapsed="false">
      <c r="S85" s="105" t="n">
        <v>75</v>
      </c>
    </row>
    <row r="86" customFormat="false" ht="12.8" hidden="false" customHeight="false" outlineLevel="0" collapsed="false">
      <c r="S86" s="105" t="n">
        <v>76</v>
      </c>
    </row>
    <row r="87" customFormat="false" ht="12.8" hidden="false" customHeight="false" outlineLevel="0" collapsed="false">
      <c r="S87" s="105" t="n">
        <v>77</v>
      </c>
    </row>
    <row r="88" customFormat="false" ht="12.8" hidden="false" customHeight="false" outlineLevel="0" collapsed="false">
      <c r="S88" s="105" t="n">
        <v>78</v>
      </c>
    </row>
    <row r="89" customFormat="false" ht="12.8" hidden="false" customHeight="false" outlineLevel="0" collapsed="false">
      <c r="S89" s="105" t="n">
        <v>79</v>
      </c>
    </row>
    <row r="90" customFormat="false" ht="12.8" hidden="false" customHeight="false" outlineLevel="0" collapsed="false">
      <c r="S90" s="105" t="n">
        <v>80</v>
      </c>
    </row>
    <row r="91" customFormat="false" ht="12.8" hidden="false" customHeight="false" outlineLevel="0" collapsed="false">
      <c r="S91" s="105" t="n">
        <v>81</v>
      </c>
    </row>
    <row r="92" customFormat="false" ht="12.8" hidden="false" customHeight="false" outlineLevel="0" collapsed="false">
      <c r="S92" s="105" t="n">
        <v>82</v>
      </c>
    </row>
    <row r="93" customFormat="false" ht="12.8" hidden="false" customHeight="false" outlineLevel="0" collapsed="false">
      <c r="S93" s="105" t="n">
        <v>83</v>
      </c>
    </row>
    <row r="94" customFormat="false" ht="12.8" hidden="false" customHeight="false" outlineLevel="0" collapsed="false">
      <c r="S94" s="105" t="n">
        <v>84</v>
      </c>
    </row>
    <row r="95" customFormat="false" ht="12.8" hidden="false" customHeight="false" outlineLevel="0" collapsed="false">
      <c r="S95" s="105" t="n">
        <v>85</v>
      </c>
    </row>
    <row r="96" customFormat="false" ht="12.8" hidden="false" customHeight="false" outlineLevel="0" collapsed="false">
      <c r="S96" s="105" t="n">
        <v>86</v>
      </c>
    </row>
    <row r="97" customFormat="false" ht="12.8" hidden="false" customHeight="false" outlineLevel="0" collapsed="false">
      <c r="S97" s="105" t="n">
        <v>87</v>
      </c>
    </row>
    <row r="98" customFormat="false" ht="12.8" hidden="false" customHeight="false" outlineLevel="0" collapsed="false">
      <c r="S98" s="105" t="n">
        <v>88</v>
      </c>
    </row>
    <row r="99" customFormat="false" ht="12.8" hidden="false" customHeight="false" outlineLevel="0" collapsed="false">
      <c r="S99" s="105" t="n">
        <v>89</v>
      </c>
    </row>
    <row r="100" customFormat="false" ht="12.8" hidden="false" customHeight="false" outlineLevel="0" collapsed="false">
      <c r="S100" s="105" t="n">
        <v>90</v>
      </c>
    </row>
    <row r="101" customFormat="false" ht="12.8" hidden="false" customHeight="false" outlineLevel="0" collapsed="false">
      <c r="S101" s="105" t="n">
        <v>91</v>
      </c>
    </row>
    <row r="102" customFormat="false" ht="12.8" hidden="false" customHeight="false" outlineLevel="0" collapsed="false">
      <c r="S102" s="105" t="n">
        <v>92</v>
      </c>
    </row>
    <row r="103" customFormat="false" ht="12.8" hidden="false" customHeight="false" outlineLevel="0" collapsed="false">
      <c r="S103" s="105" t="n">
        <v>93</v>
      </c>
    </row>
    <row r="104" customFormat="false" ht="12.8" hidden="false" customHeight="false" outlineLevel="0" collapsed="false">
      <c r="S104" s="105" t="n">
        <v>94</v>
      </c>
    </row>
    <row r="105" customFormat="false" ht="12.8" hidden="false" customHeight="false" outlineLevel="0" collapsed="false">
      <c r="S105" s="105" t="n">
        <v>95</v>
      </c>
    </row>
    <row r="106" customFormat="false" ht="12.8" hidden="false" customHeight="false" outlineLevel="0" collapsed="false">
      <c r="S106" s="105" t="n">
        <v>96</v>
      </c>
    </row>
    <row r="107" customFormat="false" ht="12.8" hidden="false" customHeight="false" outlineLevel="0" collapsed="false">
      <c r="S107" s="105" t="n">
        <v>97</v>
      </c>
    </row>
    <row r="108" customFormat="false" ht="12.8" hidden="false" customHeight="false" outlineLevel="0" collapsed="false">
      <c r="S108" s="105" t="n">
        <v>98</v>
      </c>
    </row>
    <row r="109" customFormat="false" ht="12.8" hidden="false" customHeight="false" outlineLevel="0" collapsed="false">
      <c r="S109" s="105" t="n">
        <v>99</v>
      </c>
    </row>
    <row r="110" customFormat="false" ht="12.8" hidden="false" customHeight="false" outlineLevel="0" collapsed="false">
      <c r="S110" s="105" t="n">
        <v>100</v>
      </c>
    </row>
  </sheetData>
  <sheetProtection sheet="true" password="d3f5" objects="true" scenarios="true" selectLockedCells="true"/>
  <mergeCells count="2">
    <mergeCell ref="E10:K11"/>
    <mergeCell ref="F13:H13"/>
  </mergeCells>
  <dataValidations count="1">
    <dataValidation allowBlank="true" errorStyle="stop" operator="equal" showDropDown="false" showErrorMessage="true" showInputMessage="false" sqref="I13" type="list">
      <formula1>S11:S110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4940</TotalTime>
  <Application>LibreOffice/7.4.2.3$Linux_X86_64 LibreOffice_project/40$Build-3</Application>
  <AppVersion>15.0000</AppVersion>
  <DocSecurity>1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2017-08-09T23:34:08Z</dcterms:created>
  <dc:creator>Brad Sayre</dc:creator>
  <dc:description/>
  <dc:language>en-US</dc:language>
  <cp:lastModifiedBy/>
  <dcterms:modified xsi:type="dcterms:W3CDTF">2022-12-31T12:25:25Z</dcterms:modified>
  <cp:revision>1124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